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57" activeTab="1"/>
  </bookViews>
  <sheets>
    <sheet name="RESUMEN VAL" sheetId="1" r:id="rId1"/>
    <sheet name="RETENCION 10%" sheetId="2" r:id="rId2"/>
    <sheet name="CURVA S" sheetId="3" r:id="rId3"/>
    <sheet name="1.- CalculoPago" sheetId="4" r:id="rId4"/>
    <sheet name="Hoja1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C" localSheetId="1">'[3]FELOC963'!#REF!</definedName>
    <definedName name="\C">'[3]FELOC963'!#REF!</definedName>
    <definedName name="\E" localSheetId="1">'[3]FELOC963'!#REF!</definedName>
    <definedName name="\E">'[3]FELOC963'!#REF!</definedName>
    <definedName name="_xlnm.Print_Area" localSheetId="3">'1.- CalculoPago'!$A$1:$W$38</definedName>
    <definedName name="_xlnm.Print_Area" localSheetId="2">'CURVA S'!$A$1:$M$60</definedName>
    <definedName name="_xlnm.Print_Area" localSheetId="0">'RESUMEN VAL'!$A$1:$M$46</definedName>
    <definedName name="_xlnm.Print_Area" localSheetId="1">'RETENCION 10%'!$A$1:$I$37</definedName>
    <definedName name="base1">#REF!</definedName>
    <definedName name="METRADOS_AGOSTO" localSheetId="1">'[3]FELOC963'!#REF!</definedName>
    <definedName name="METRADOS_AGOSTO">'[3]FELOC963'!#REF!</definedName>
    <definedName name="METRADOS_JULIO" localSheetId="1">'[5]FELOC963'!#REF!</definedName>
    <definedName name="METRADOS_JULIO">'[5]FELOC963'!#REF!</definedName>
    <definedName name="RESUMEN" localSheetId="1">'[1]Resumen'!#REF!</definedName>
    <definedName name="RESUMEN">'[1]Resumen'!#REF!</definedName>
    <definedName name="s" localSheetId="1">'[5]FELOC963'!#REF!</definedName>
    <definedName name="s">'[5]FELOC963'!#REF!</definedName>
    <definedName name="uhu" localSheetId="1">'[2]Resumen02'!#REF!</definedName>
    <definedName name="uhu">'[2]Resumen02'!#REF!</definedName>
  </definedNames>
  <calcPr fullCalcOnLoad="1"/>
</workbook>
</file>

<file path=xl/sharedStrings.xml><?xml version="1.0" encoding="utf-8"?>
<sst xmlns="http://schemas.openxmlformats.org/spreadsheetml/2006/main" count="416" uniqueCount="220">
  <si>
    <t>CONTRATISTA</t>
  </si>
  <si>
    <t>UBICACIÓN</t>
  </si>
  <si>
    <t>S/.</t>
  </si>
  <si>
    <t>PRESUPUESTO CONTRATADO</t>
  </si>
  <si>
    <t>PLAZO DE EJECUCIÓN</t>
  </si>
  <si>
    <t>I.</t>
  </si>
  <si>
    <t xml:space="preserve">Valorización Reajuastada </t>
  </si>
  <si>
    <t>VALORIZACION EJECUTADA</t>
  </si>
  <si>
    <t>REAJUSTE = V (K - 1)</t>
  </si>
  <si>
    <t>VALORIZACIÓN REAJUSTADA</t>
  </si>
  <si>
    <t>II.</t>
  </si>
  <si>
    <t>DESCUENTOS POR ADELANTOS</t>
  </si>
  <si>
    <t>AMORTIZACIONES POR ADELANTO DIRECTO</t>
  </si>
  <si>
    <t>AMORTIZACIONES POR ADELANTO PARA MATERIALES</t>
  </si>
  <si>
    <t>III.</t>
  </si>
  <si>
    <t>IV.</t>
  </si>
  <si>
    <t>UND</t>
  </si>
  <si>
    <t>ANTERIOR</t>
  </si>
  <si>
    <t>ACTUAL</t>
  </si>
  <si>
    <t>(S/.)</t>
  </si>
  <si>
    <t>%</t>
  </si>
  <si>
    <t>Base Legal</t>
  </si>
  <si>
    <t>TOTAL</t>
  </si>
  <si>
    <t>SUB - TOTAL</t>
  </si>
  <si>
    <t>ACUMULADA</t>
  </si>
  <si>
    <t>Item</t>
  </si>
  <si>
    <t>CONCEPTOS</t>
  </si>
  <si>
    <t>(a)</t>
  </si>
  <si>
    <t>(b)</t>
  </si>
  <si>
    <t>(c )</t>
  </si>
  <si>
    <t>(c )=(a)+(b)</t>
  </si>
  <si>
    <t>(d)</t>
  </si>
  <si>
    <t>(e )</t>
  </si>
  <si>
    <t>(f)=(d)+(e )</t>
  </si>
  <si>
    <t>RESUMEN</t>
  </si>
  <si>
    <t>TOTAL VALORIZADO</t>
  </si>
  <si>
    <t>(d )</t>
  </si>
  <si>
    <t>(g )</t>
  </si>
  <si>
    <t>(h )</t>
  </si>
  <si>
    <t>OBRA</t>
  </si>
  <si>
    <t>SALDO</t>
  </si>
  <si>
    <t>SUB TOTAL</t>
  </si>
  <si>
    <t>SIN IGV</t>
  </si>
  <si>
    <t>CON IGV</t>
  </si>
  <si>
    <t>VALOR REAJUSTADO</t>
  </si>
  <si>
    <t>I.G.V. (18%)</t>
  </si>
  <si>
    <t>ENTIDAD CONTRATANTE</t>
  </si>
  <si>
    <t>SUPERVISION</t>
  </si>
  <si>
    <t>MATRIZ DE UNIDADES</t>
  </si>
  <si>
    <t>posiscion</t>
  </si>
  <si>
    <t>Numero</t>
  </si>
  <si>
    <t xml:space="preserve"> </t>
  </si>
  <si>
    <t xml:space="preserve">UN </t>
  </si>
  <si>
    <t xml:space="preserve">DOS </t>
  </si>
  <si>
    <t xml:space="preserve">TRES </t>
  </si>
  <si>
    <t xml:space="preserve">CUATRO </t>
  </si>
  <si>
    <t xml:space="preserve">CINCO </t>
  </si>
  <si>
    <t xml:space="preserve">SEIS </t>
  </si>
  <si>
    <t xml:space="preserve">SIETE </t>
  </si>
  <si>
    <t xml:space="preserve">OCHO </t>
  </si>
  <si>
    <t xml:space="preserve">NUEVE </t>
  </si>
  <si>
    <t xml:space="preserve">DIEZ </t>
  </si>
  <si>
    <t>DIECI</t>
  </si>
  <si>
    <t>VEINTI</t>
  </si>
  <si>
    <t xml:space="preserve">TREINTA </t>
  </si>
  <si>
    <t xml:space="preserve">CUARENTA </t>
  </si>
  <si>
    <t xml:space="preserve">CINCUENTA </t>
  </si>
  <si>
    <t xml:space="preserve">SESENTA </t>
  </si>
  <si>
    <t xml:space="preserve">SETENTA </t>
  </si>
  <si>
    <t xml:space="preserve">OCHENTA </t>
  </si>
  <si>
    <t xml:space="preserve">NOVENTA </t>
  </si>
  <si>
    <t xml:space="preserve">CIEN </t>
  </si>
  <si>
    <t xml:space="preserve">CIENTO </t>
  </si>
  <si>
    <t xml:space="preserve">DOSCIENTOS </t>
  </si>
  <si>
    <t xml:space="preserve">TRESCEINTOS </t>
  </si>
  <si>
    <t xml:space="preserve">CUATROCIENTOS </t>
  </si>
  <si>
    <t xml:space="preserve">QUINIENTOS </t>
  </si>
  <si>
    <t xml:space="preserve">SEISCIENTOS </t>
  </si>
  <si>
    <t xml:space="preserve">SETECIENTOS </t>
  </si>
  <si>
    <t xml:space="preserve">OCHOCIENTOS </t>
  </si>
  <si>
    <t xml:space="preserve">NOVECIENTOS </t>
  </si>
  <si>
    <t xml:space="preserve">MIL </t>
  </si>
  <si>
    <t>|</t>
  </si>
  <si>
    <t>A COBRAR</t>
  </si>
  <si>
    <t>N°</t>
  </si>
  <si>
    <t>N° díg</t>
  </si>
  <si>
    <t>UND CENTENA</t>
  </si>
  <si>
    <t>DEC DE CENTENA</t>
  </si>
  <si>
    <t xml:space="preserve">VEINTE </t>
  </si>
  <si>
    <t>DEC</t>
  </si>
  <si>
    <t xml:space="preserve">ONCE </t>
  </si>
  <si>
    <t xml:space="preserve">VEINTIUN </t>
  </si>
  <si>
    <t>CENT</t>
  </si>
  <si>
    <t xml:space="preserve">DOCE </t>
  </si>
  <si>
    <t xml:space="preserve">VEINTIDOS </t>
  </si>
  <si>
    <t>UND MILLAR</t>
  </si>
  <si>
    <t xml:space="preserve">TRECE </t>
  </si>
  <si>
    <t xml:space="preserve">VEINTITRES </t>
  </si>
  <si>
    <t>DEC MILLAR</t>
  </si>
  <si>
    <t xml:space="preserve">CATORCE </t>
  </si>
  <si>
    <t xml:space="preserve">VEINTICUATRO </t>
  </si>
  <si>
    <t>CENT MILLAR</t>
  </si>
  <si>
    <t xml:space="preserve">QUINCE </t>
  </si>
  <si>
    <t xml:space="preserve">VEINTICINCO </t>
  </si>
  <si>
    <t>UND  MILLÓN</t>
  </si>
  <si>
    <t xml:space="preserve">DIECISEIS </t>
  </si>
  <si>
    <t xml:space="preserve">VEINTISEIS </t>
  </si>
  <si>
    <t>DEC MILLÓN</t>
  </si>
  <si>
    <t xml:space="preserve">DIECISIETE </t>
  </si>
  <si>
    <t xml:space="preserve">VEINTISIETE </t>
  </si>
  <si>
    <t>CENT MILLÓN</t>
  </si>
  <si>
    <t xml:space="preserve">DIECIOCHO </t>
  </si>
  <si>
    <t xml:space="preserve">VEINTIOCHO </t>
  </si>
  <si>
    <t>MIL MILLON</t>
  </si>
  <si>
    <t xml:space="preserve">DIECINUEVE </t>
  </si>
  <si>
    <t xml:space="preserve">VEINTINIEUVE </t>
  </si>
  <si>
    <t>DEC UND MILLON</t>
  </si>
  <si>
    <t>CENT UND MILLON</t>
  </si>
  <si>
    <t>UND BILLON</t>
  </si>
  <si>
    <t>DEC BILLON</t>
  </si>
  <si>
    <t xml:space="preserve">PRESUPUESTO </t>
  </si>
  <si>
    <t>CONTRATADO</t>
  </si>
  <si>
    <t>A facturar</t>
  </si>
  <si>
    <t>MONTOS A FACTURAR POR EL CONSULTOR</t>
  </si>
  <si>
    <t>(INC IGV)</t>
  </si>
  <si>
    <t>OBJETO DEL CONTRATO</t>
  </si>
  <si>
    <t>REGIÓN</t>
  </si>
  <si>
    <t>PROVINCIA</t>
  </si>
  <si>
    <t>DISTRITO</t>
  </si>
  <si>
    <t>SUPERVISIÓN</t>
  </si>
  <si>
    <t>IGV (18%)</t>
  </si>
  <si>
    <t>(SIN IGV)</t>
  </si>
  <si>
    <t>UNIDAD</t>
  </si>
  <si>
    <t>METRADO</t>
  </si>
  <si>
    <t>PRECIO UNITARIO</t>
  </si>
  <si>
    <t>COSTO</t>
  </si>
  <si>
    <t>PARCIAL</t>
  </si>
  <si>
    <t>MONTO CONTRACTUAL</t>
  </si>
  <si>
    <t>PLAZO CONTRATADO</t>
  </si>
  <si>
    <t>ENTREGA TERRENO</t>
  </si>
  <si>
    <t>INICIO PLAZO CONTRACTUAL</t>
  </si>
  <si>
    <t>: CAJAMARCA</t>
  </si>
  <si>
    <t>: NUEVA JERUSALEN CONTRATISTAS GENERALES SAC.</t>
  </si>
  <si>
    <t>: ING. ESTEBAN FERROÑAN ACOSTA</t>
  </si>
  <si>
    <t>MONTO SUPERVISION</t>
  </si>
  <si>
    <t>MONTO LIQUIDADCION</t>
  </si>
  <si>
    <r>
      <t xml:space="preserve">Contrato: Clausula Cuarta: Del Pago: LA ENTIDAD se obliga a pagar la contraprestación a EL CONTRATISTA en soles, </t>
    </r>
    <r>
      <rPr>
        <b/>
        <sz val="10"/>
        <rFont val="Arial"/>
        <family val="2"/>
      </rPr>
      <t>segun tarifa mensual</t>
    </r>
    <r>
      <rPr>
        <sz val="10"/>
        <rFont val="Arial"/>
        <family val="2"/>
      </rPr>
      <t xml:space="preserve"> el servicio de supervision.</t>
    </r>
  </si>
  <si>
    <t>DIA</t>
  </si>
  <si>
    <t>PRESUPUESTO BASE SIN LIQUIDACIÓN</t>
  </si>
  <si>
    <t>MODALIDAD DE SUPERVISION</t>
  </si>
  <si>
    <t>A TARIFA</t>
  </si>
  <si>
    <t>ITEMS</t>
  </si>
  <si>
    <t>LIQUIDACION</t>
  </si>
  <si>
    <t>GLB</t>
  </si>
  <si>
    <t>VALORIZACIÓN N° 01 JUNIO</t>
  </si>
  <si>
    <t>VALORIZACIÓN N° 02 JULIO</t>
  </si>
  <si>
    <t>VALORIZACIÓN N° 03 AGOSTO</t>
  </si>
  <si>
    <t>VALORIZACIÓN N° 04 SETIEMBRE</t>
  </si>
  <si>
    <t>VALORIZACIÓN N° 05 OCTUBRE</t>
  </si>
  <si>
    <t>VALORIZACIÓN N° 06 NOVIEMBRE</t>
  </si>
  <si>
    <t>VALORIZACIÓN N° 07 - DICIEMBRE</t>
  </si>
  <si>
    <t>TARIFA UNITARIA OFERTADA</t>
  </si>
  <si>
    <t>SOLES</t>
  </si>
  <si>
    <t>LIQUIDACION DE OBRA</t>
  </si>
  <si>
    <t>VALORIZACION ACUMULADA</t>
  </si>
  <si>
    <t>: SUPERVISIÓN DE OBRA: “MEJORAMIENTO Y CONSTRUCCIÓN DE CAMINO VECINAL PUENTE QUEBRADA SALAS, CRUCE VALLE CALLACATE, DISTRITO DE CUTERVO, DISTRITO DE COCHABAMBA –CHOTA –REGIÓN CAJAMARCA ".</t>
  </si>
  <si>
    <t>: GERENCIA SUB REGIONAL CHOTA.</t>
  </si>
  <si>
    <t>: CHOTA - CUTERVO</t>
  </si>
  <si>
    <t>: COCHABAMBA - CUTERVO</t>
  </si>
  <si>
    <t>: CONSORCIO SUPERVISOR CALLACATE</t>
  </si>
  <si>
    <t>JEFE DE SUPERVISIÓN</t>
  </si>
  <si>
    <t>:  05 - MARZO - 2021</t>
  </si>
  <si>
    <t>:  01 - JUNIO - 2021</t>
  </si>
  <si>
    <t>FECHA TÉRMINO OBRA PROGRAMADO</t>
  </si>
  <si>
    <t>:  27 - DICIEMBRE - 2021</t>
  </si>
  <si>
    <t>DIAS</t>
  </si>
  <si>
    <t>VALORIZACION N° 01 DE SUPERVISION</t>
  </si>
  <si>
    <t>DEL 01 AL 30 DE JUNIO DEL 2021</t>
  </si>
  <si>
    <t>:  1139.3328</t>
  </si>
  <si>
    <t>210 DÍAS CALENDARIOS</t>
  </si>
  <si>
    <t xml:space="preserve"> ( DEL 01 AL 30 DE JUNIO DEL 2021)</t>
  </si>
  <si>
    <t xml:space="preserve">GRÁFICO DEL AVANCE FISICO PROGRAMADO VS. AVANCE FISICO EJECUTADO </t>
  </si>
  <si>
    <t>VAL. N°</t>
  </si>
  <si>
    <t>MES</t>
  </si>
  <si>
    <t>PROGRAMADO</t>
  </si>
  <si>
    <t>EJECUTADO</t>
  </si>
  <si>
    <t>ESTADO</t>
  </si>
  <si>
    <t>ACUMULADO</t>
  </si>
  <si>
    <t>PARCIAL %</t>
  </si>
  <si>
    <t>ACUMULADO %</t>
  </si>
  <si>
    <t>TOTAL (S/.)</t>
  </si>
  <si>
    <t>JUNIO</t>
  </si>
  <si>
    <t>JULIO</t>
  </si>
  <si>
    <t>AGOSTO</t>
  </si>
  <si>
    <t>SETIEMBRE</t>
  </si>
  <si>
    <t>OCTUBRE</t>
  </si>
  <si>
    <t>NOVIEMBRE</t>
  </si>
  <si>
    <t>DICIEMBRE</t>
  </si>
  <si>
    <t>CUADRO DE AVANCE FISICO Y FINANCIERO</t>
  </si>
  <si>
    <t>RESUMEN DE PAGOS DE VALORIZACIONES DE SUPERVISION</t>
  </si>
  <si>
    <t>SUB- TOTAL</t>
  </si>
  <si>
    <t>V.</t>
  </si>
  <si>
    <t>VI.</t>
  </si>
  <si>
    <t>MONTO A PAGAR AL CONTRATISTA</t>
  </si>
  <si>
    <t>CONTROL DE RETENCIÓN DEL 10% COMO GARANTIA DE FIEL CUMPLIMIENTO</t>
  </si>
  <si>
    <t>De acuerdo al artículo 149.5 del reglamento de la ley Nro. 30225  de contrataciones del estado se detalla lo siguiente: “La retención se efectúa durante la primera mitad del número total de pagos a realizarse, de forma prorrateada en cada pago, con cargo a ser devuelto a la finalización del mismo.”</t>
  </si>
  <si>
    <t>Monto de Retención Prorrateada a:</t>
  </si>
  <si>
    <t>Pago Nro 01</t>
  </si>
  <si>
    <t xml:space="preserve">Parcial </t>
  </si>
  <si>
    <t xml:space="preserve">Acumulado </t>
  </si>
  <si>
    <t xml:space="preserve">Saldo </t>
  </si>
  <si>
    <t>(Inc. IGV)</t>
  </si>
  <si>
    <t>Monto Contractual  inc IGV:</t>
  </si>
  <si>
    <t xml:space="preserve">10% del Monto Contractual Inc IGV: </t>
  </si>
  <si>
    <t>MANTENIMIENTO PERIODICO</t>
  </si>
  <si>
    <t>Total</t>
  </si>
  <si>
    <t>RETENCIÓN DEL 10% COMO GARANTIA DE FIEL CUMPLIMINTO</t>
  </si>
  <si>
    <t>SON: VEITISEIS Y CUATRO  CON 66/100 SOLES</t>
  </si>
  <si>
    <t>Retención del 10% - Programado</t>
  </si>
  <si>
    <t>Retención del 10% - Real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</si>
</sst>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_ ;_ * \-#,##0_ ;_ * &quot;-&quot;_ ;_ @_ 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 &quot;S/.&quot;* #,##0_ ;_ &quot;S/.&quot;* \-#,##0_ ;_ &quot;S/.&quot;* &quot;-&quot;_ ;_ @_ "/>
    <numFmt numFmtId="168" formatCode="_ &quot;S/.&quot;* #,##0.00_ ;_ &quot;S/.&quot;* \-#,##0.00_ ;_ &quot;S/.&quot;* &quot;-&quot;??_ ;_ @_ "/>
    <numFmt numFmtId="169" formatCode="_(* #,##0.00_);_(* \(#,##0.00\);_(* &quot;-&quot;??_);_(@_)"/>
    <numFmt numFmtId="170" formatCode="&quot;S/.&quot;#,##0.00"/>
    <numFmt numFmtId="171" formatCode="0.0000"/>
    <numFmt numFmtId="172" formatCode="&quot;S/.&quot;\ #,##0.00"/>
    <numFmt numFmtId="173" formatCode="&quot;$&quot;#,##0.0000_);\(&quot;$&quot;#,##0.0000\)"/>
    <numFmt numFmtId="174" formatCode="_-[$€]* #,##0.00_-;\-[$€]* #,##0.00_-;_-[$€]* &quot;-&quot;??_-;_-@_-"/>
    <numFmt numFmtId="175" formatCode="#.00"/>
    <numFmt numFmtId="176" formatCode="#,##0.0_);\(#,##0.0\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\$#.00"/>
    <numFmt numFmtId="182" formatCode="&quot;$&quot;#,##0_);\(&quot;$&quot;#,##0\)"/>
    <numFmt numFmtId="183" formatCode="mm/dd/\y\y"/>
    <numFmt numFmtId="184" formatCode="[$S/.-280A]\ #,##0.00;[Red][$S/.-280A]\ #,##0.00"/>
    <numFmt numFmtId="185" formatCode="mmm\-yyyy"/>
    <numFmt numFmtId="186" formatCode="&quot;S/&quot;#,##0.00"/>
    <numFmt numFmtId="187" formatCode="0.00000"/>
    <numFmt numFmtId="188" formatCode="&quot;VALORIZACIÓN Nº &quot;00"/>
    <numFmt numFmtId="189" formatCode="00"/>
    <numFmt numFmtId="190" formatCode="#,##0.00_ ;\-#,##0.00\ "/>
    <numFmt numFmtId="191" formatCode="_-* #,##0.000_-;\-* #,##0.000_-;_-* &quot;-&quot;??_-;_-@_-"/>
    <numFmt numFmtId="192" formatCode="_-&quot;S/&quot;* #,##0.00_-;\-&quot;S/&quot;* #,##0.00_-;_-&quot;S/&quot;* &quot;-&quot;??_-;_-@_-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24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2"/>
      <name val="Helv"/>
      <family val="0"/>
    </font>
    <font>
      <sz val="12"/>
      <color indexed="9"/>
      <name val="Helv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‚l‚r –¾’©"/>
      <family val="0"/>
    </font>
    <font>
      <sz val="10"/>
      <name val="Tms Rm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8"/>
      <color indexed="8"/>
      <name val="Stylus BT"/>
      <family val="2"/>
    </font>
    <font>
      <b/>
      <i/>
      <sz val="12"/>
      <name val="Arial Narrow"/>
      <family val="2"/>
    </font>
    <font>
      <sz val="9"/>
      <name val="Arial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14"/>
      <name val="Trebuchet MS"/>
      <family val="2"/>
    </font>
    <font>
      <b/>
      <i/>
      <sz val="12"/>
      <name val="Trebuchet MS"/>
      <family val="2"/>
    </font>
    <font>
      <b/>
      <sz val="22"/>
      <name val="Trebuchet MS"/>
      <family val="2"/>
    </font>
    <font>
      <sz val="10"/>
      <color indexed="8"/>
      <name val="Arial Narrow"/>
      <family val="0"/>
    </font>
    <font>
      <b/>
      <sz val="10"/>
      <color indexed="30"/>
      <name val="Arial Narrow"/>
      <family val="0"/>
    </font>
    <font>
      <b/>
      <sz val="10"/>
      <color indexed="25"/>
      <name val="Arial Narrow"/>
      <family val="0"/>
    </font>
    <font>
      <b/>
      <i/>
      <sz val="16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55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53"/>
      <name val="Calibri"/>
      <family val="2"/>
    </font>
    <font>
      <b/>
      <sz val="12"/>
      <color indexed="9"/>
      <name val="Trebuchet MS"/>
      <family val="2"/>
    </font>
    <font>
      <sz val="10"/>
      <color indexed="8"/>
      <name val="Trebuchet MS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b/>
      <sz val="12"/>
      <color indexed="30"/>
      <name val="Trebuchet MS"/>
      <family val="2"/>
    </font>
    <font>
      <b/>
      <sz val="12"/>
      <color indexed="62"/>
      <name val="Trebuchet MS"/>
      <family val="2"/>
    </font>
    <font>
      <b/>
      <sz val="10"/>
      <color indexed="40"/>
      <name val="Arial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0"/>
      <color theme="9"/>
      <name val="Calibri"/>
      <family val="2"/>
    </font>
    <font>
      <b/>
      <sz val="12"/>
      <color theme="0"/>
      <name val="Trebuchet MS"/>
      <family val="2"/>
    </font>
    <font>
      <sz val="10"/>
      <color theme="1"/>
      <name val="Trebuchet MS"/>
      <family val="2"/>
    </font>
    <font>
      <b/>
      <sz val="16"/>
      <color theme="1"/>
      <name val="Calibri"/>
      <family val="2"/>
    </font>
    <font>
      <b/>
      <sz val="10"/>
      <color theme="4"/>
      <name val="Calibri"/>
      <family val="2"/>
    </font>
    <font>
      <b/>
      <sz val="12"/>
      <color rgb="FF0070C0"/>
      <name val="Trebuchet MS"/>
      <family val="2"/>
    </font>
    <font>
      <b/>
      <sz val="12"/>
      <color theme="3" tint="0.39998000860214233"/>
      <name val="Trebuchet MS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hair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>
      <alignment horizontal="center" wrapText="1"/>
      <protection locked="0"/>
    </xf>
    <xf numFmtId="0" fontId="3" fillId="4" borderId="0" applyNumberFormat="0" applyBorder="0" applyAlignment="0" applyProtection="0"/>
    <xf numFmtId="173" fontId="0" fillId="0" borderId="0" applyFill="0" applyBorder="0" applyAlignment="0">
      <protection/>
    </xf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0" fillId="0" borderId="0" applyNumberFormat="0" applyAlignment="0">
      <protection/>
    </xf>
    <xf numFmtId="0" fontId="8" fillId="7" borderId="1" applyNumberFormat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38" fillId="0" borderId="0">
      <alignment/>
      <protection locked="0"/>
    </xf>
    <xf numFmtId="4" fontId="38" fillId="0" borderId="0">
      <alignment/>
      <protection locked="0"/>
    </xf>
    <xf numFmtId="38" fontId="20" fillId="16" borderId="0" applyNumberFormat="0" applyBorder="0" applyAlignment="0" applyProtection="0"/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0" fontId="20" fillId="22" borderId="7" applyNumberFormat="0" applyBorder="0" applyAlignment="0" applyProtection="0"/>
    <xf numFmtId="176" fontId="41" fillId="23" borderId="0">
      <alignment/>
      <protection/>
    </xf>
    <xf numFmtId="176" fontId="42" fillId="24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8" fillId="0" borderId="0">
      <alignment/>
      <protection locked="0"/>
    </xf>
    <xf numFmtId="0" fontId="12" fillId="25" borderId="0" applyNumberFormat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4" fontId="2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26" borderId="0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46" fillId="0" borderId="0">
      <alignment/>
      <protection/>
    </xf>
    <xf numFmtId="0" fontId="44" fillId="0" borderId="0" applyNumberFormat="0" applyFont="0" applyFill="0" applyBorder="0" applyAlignment="0" applyProtection="0"/>
    <xf numFmtId="183" fontId="47" fillId="0" borderId="0" applyNumberFormat="0" applyFill="0" applyBorder="0" applyAlignment="0" applyProtection="0"/>
    <xf numFmtId="0" fontId="13" fillId="16" borderId="9" applyNumberFormat="0" applyAlignment="0" applyProtection="0"/>
    <xf numFmtId="40" fontId="48" fillId="0" borderId="0" applyBorder="0">
      <alignment horizontal="right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7" fillId="0" borderId="11" applyNumberFormat="0" applyFill="0" applyAlignment="0" applyProtection="0"/>
    <xf numFmtId="0" fontId="19" fillId="0" borderId="12" applyNumberFormat="0" applyFill="0" applyAlignment="0" applyProtection="0"/>
  </cellStyleXfs>
  <cellXfs count="36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2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33" fillId="27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9" fillId="0" borderId="0" xfId="100" applyFont="1">
      <alignment/>
      <protection/>
    </xf>
    <xf numFmtId="0" fontId="79" fillId="0" borderId="13" xfId="100" applyFont="1" applyBorder="1">
      <alignment/>
      <protection/>
    </xf>
    <xf numFmtId="0" fontId="79" fillId="0" borderId="14" xfId="100" applyFont="1" applyBorder="1">
      <alignment/>
      <protection/>
    </xf>
    <xf numFmtId="0" fontId="79" fillId="28" borderId="15" xfId="100" applyFont="1" applyFill="1" applyBorder="1" applyAlignment="1">
      <alignment horizontal="center"/>
      <protection/>
    </xf>
    <xf numFmtId="0" fontId="79" fillId="28" borderId="16" xfId="100" applyFont="1" applyFill="1" applyBorder="1" applyAlignment="1">
      <alignment horizontal="center"/>
      <protection/>
    </xf>
    <xf numFmtId="0" fontId="80" fillId="29" borderId="17" xfId="100" applyFont="1" applyFill="1" applyBorder="1" applyAlignment="1">
      <alignment horizontal="center"/>
      <protection/>
    </xf>
    <xf numFmtId="0" fontId="79" fillId="0" borderId="17" xfId="100" applyFont="1" applyBorder="1">
      <alignment/>
      <protection/>
    </xf>
    <xf numFmtId="0" fontId="80" fillId="29" borderId="18" xfId="100" applyFont="1" applyFill="1" applyBorder="1" applyAlignment="1">
      <alignment horizontal="center"/>
      <protection/>
    </xf>
    <xf numFmtId="0" fontId="79" fillId="0" borderId="18" xfId="100" applyFont="1" applyBorder="1">
      <alignment/>
      <protection/>
    </xf>
    <xf numFmtId="0" fontId="0" fillId="0" borderId="17" xfId="100" applyFont="1" applyBorder="1">
      <alignment/>
      <protection/>
    </xf>
    <xf numFmtId="0" fontId="79" fillId="30" borderId="19" xfId="100" applyFont="1" applyFill="1" applyBorder="1">
      <alignment/>
      <protection/>
    </xf>
    <xf numFmtId="0" fontId="79" fillId="30" borderId="20" xfId="100" applyFont="1" applyFill="1" applyBorder="1">
      <alignment/>
      <protection/>
    </xf>
    <xf numFmtId="0" fontId="79" fillId="30" borderId="20" xfId="100" applyNumberFormat="1" applyFont="1" applyFill="1" applyBorder="1">
      <alignment/>
      <protection/>
    </xf>
    <xf numFmtId="0" fontId="79" fillId="30" borderId="21" xfId="100" applyFont="1" applyFill="1" applyBorder="1">
      <alignment/>
      <protection/>
    </xf>
    <xf numFmtId="0" fontId="79" fillId="30" borderId="0" xfId="100" applyFont="1" applyFill="1" applyBorder="1">
      <alignment/>
      <protection/>
    </xf>
    <xf numFmtId="0" fontId="81" fillId="30" borderId="0" xfId="100" applyFont="1" applyFill="1" applyBorder="1">
      <alignment/>
      <protection/>
    </xf>
    <xf numFmtId="0" fontId="79" fillId="30" borderId="0" xfId="100" applyNumberFormat="1" applyFont="1" applyFill="1" applyBorder="1">
      <alignment/>
      <protection/>
    </xf>
    <xf numFmtId="0" fontId="49" fillId="30" borderId="22" xfId="94" applyNumberFormat="1" applyFont="1" applyFill="1" applyBorder="1" applyAlignment="1">
      <alignment vertical="center"/>
      <protection/>
    </xf>
    <xf numFmtId="0" fontId="79" fillId="30" borderId="0" xfId="100" applyFont="1" applyFill="1" applyBorder="1" applyAlignment="1">
      <alignment horizontal="left"/>
      <protection/>
    </xf>
    <xf numFmtId="0" fontId="80" fillId="30" borderId="23" xfId="100" applyFont="1" applyFill="1" applyBorder="1" applyAlignment="1">
      <alignment horizontal="center"/>
      <protection/>
    </xf>
    <xf numFmtId="3" fontId="79" fillId="30" borderId="19" xfId="100" applyNumberFormat="1" applyFont="1" applyFill="1" applyBorder="1" applyAlignment="1">
      <alignment horizontal="center"/>
      <protection/>
    </xf>
    <xf numFmtId="3" fontId="79" fillId="30" borderId="24" xfId="100" applyNumberFormat="1" applyFont="1" applyFill="1" applyBorder="1">
      <alignment/>
      <protection/>
    </xf>
    <xf numFmtId="0" fontId="79" fillId="30" borderId="25" xfId="100" applyFont="1" applyFill="1" applyBorder="1">
      <alignment/>
      <protection/>
    </xf>
    <xf numFmtId="3" fontId="79" fillId="30" borderId="26" xfId="100" applyNumberFormat="1" applyFont="1" applyFill="1" applyBorder="1" applyAlignment="1">
      <alignment horizontal="center"/>
      <protection/>
    </xf>
    <xf numFmtId="0" fontId="79" fillId="30" borderId="27" xfId="100" applyFont="1" applyFill="1" applyBorder="1">
      <alignment/>
      <protection/>
    </xf>
    <xf numFmtId="3" fontId="79" fillId="30" borderId="28" xfId="100" applyNumberFormat="1" applyFont="1" applyFill="1" applyBorder="1">
      <alignment/>
      <protection/>
    </xf>
    <xf numFmtId="3" fontId="79" fillId="30" borderId="21" xfId="100" applyNumberFormat="1" applyFont="1" applyFill="1" applyBorder="1" applyAlignment="1">
      <alignment horizontal="center"/>
      <protection/>
    </xf>
    <xf numFmtId="3" fontId="79" fillId="30" borderId="25" xfId="100" applyNumberFormat="1" applyFont="1" applyFill="1" applyBorder="1">
      <alignment/>
      <protection/>
    </xf>
    <xf numFmtId="3" fontId="79" fillId="30" borderId="0" xfId="100" applyNumberFormat="1" applyFont="1" applyFill="1" applyBorder="1">
      <alignment/>
      <protection/>
    </xf>
    <xf numFmtId="3" fontId="79" fillId="0" borderId="0" xfId="100" applyNumberFormat="1" applyFont="1">
      <alignment/>
      <protection/>
    </xf>
    <xf numFmtId="4" fontId="79" fillId="30" borderId="0" xfId="86" applyNumberFormat="1" applyFont="1" applyFill="1" applyBorder="1" applyAlignment="1">
      <alignment/>
    </xf>
    <xf numFmtId="0" fontId="80" fillId="30" borderId="29" xfId="100" applyFont="1" applyFill="1" applyBorder="1" applyAlignment="1">
      <alignment horizontal="center"/>
      <protection/>
    </xf>
    <xf numFmtId="0" fontId="79" fillId="30" borderId="28" xfId="100" applyFont="1" applyFill="1" applyBorder="1">
      <alignment/>
      <protection/>
    </xf>
    <xf numFmtId="4" fontId="82" fillId="30" borderId="30" xfId="84" applyNumberFormat="1" applyFont="1" applyFill="1" applyBorder="1" applyAlignment="1">
      <alignment vertical="center"/>
    </xf>
    <xf numFmtId="4" fontId="34" fillId="27" borderId="0" xfId="0" applyNumberFormat="1" applyFont="1" applyFill="1" applyBorder="1" applyAlignment="1">
      <alignment vertical="center"/>
    </xf>
    <xf numFmtId="184" fontId="79" fillId="30" borderId="0" xfId="86" applyNumberFormat="1" applyFont="1" applyFill="1" applyBorder="1" applyAlignment="1">
      <alignment/>
    </xf>
    <xf numFmtId="0" fontId="80" fillId="30" borderId="31" xfId="100" applyFont="1" applyFill="1" applyBorder="1" applyAlignment="1">
      <alignment horizontal="center"/>
      <protection/>
    </xf>
    <xf numFmtId="0" fontId="80" fillId="30" borderId="32" xfId="100" applyFont="1" applyFill="1" applyBorder="1" applyAlignment="1">
      <alignment horizontal="center"/>
      <protection/>
    </xf>
    <xf numFmtId="3" fontId="79" fillId="30" borderId="32" xfId="100" applyNumberFormat="1" applyFont="1" applyFill="1" applyBorder="1" applyAlignment="1">
      <alignment horizontal="center"/>
      <protection/>
    </xf>
    <xf numFmtId="0" fontId="79" fillId="30" borderId="33" xfId="100" applyFont="1" applyFill="1" applyBorder="1">
      <alignment/>
      <protection/>
    </xf>
    <xf numFmtId="3" fontId="79" fillId="30" borderId="34" xfId="100" applyNumberFormat="1" applyFont="1" applyFill="1" applyBorder="1">
      <alignment/>
      <protection/>
    </xf>
    <xf numFmtId="0" fontId="80" fillId="30" borderId="21" xfId="100" applyFont="1" applyFill="1" applyBorder="1" applyAlignment="1">
      <alignment horizontal="center"/>
      <protection/>
    </xf>
    <xf numFmtId="0" fontId="80" fillId="30" borderId="35" xfId="100" applyFont="1" applyFill="1" applyBorder="1" applyAlignment="1">
      <alignment horizontal="center"/>
      <protection/>
    </xf>
    <xf numFmtId="3" fontId="79" fillId="30" borderId="35" xfId="100" applyNumberFormat="1" applyFont="1" applyFill="1" applyBorder="1" applyAlignment="1">
      <alignment horizontal="center"/>
      <protection/>
    </xf>
    <xf numFmtId="0" fontId="79" fillId="30" borderId="36" xfId="100" applyFont="1" applyFill="1" applyBorder="1">
      <alignment/>
      <protection/>
    </xf>
    <xf numFmtId="3" fontId="79" fillId="30" borderId="37" xfId="100" applyNumberFormat="1" applyFont="1" applyFill="1" applyBorder="1">
      <alignment/>
      <protection/>
    </xf>
    <xf numFmtId="166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172" fontId="21" fillId="0" borderId="7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3" fillId="27" borderId="38" xfId="0" applyFont="1" applyFill="1" applyBorder="1" applyAlignment="1">
      <alignment horizontal="right" vertical="center"/>
    </xf>
    <xf numFmtId="0" fontId="33" fillId="27" borderId="39" xfId="0" applyFont="1" applyFill="1" applyBorder="1" applyAlignment="1">
      <alignment vertical="center"/>
    </xf>
    <xf numFmtId="0" fontId="33" fillId="0" borderId="39" xfId="0" applyFont="1" applyFill="1" applyBorder="1" applyAlignment="1">
      <alignment vertical="center"/>
    </xf>
    <xf numFmtId="10" fontId="0" fillId="0" borderId="7" xfId="11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83" fillId="0" borderId="7" xfId="110" applyNumberFormat="1" applyFont="1" applyFill="1" applyBorder="1" applyAlignment="1">
      <alignment horizontal="center" vertical="center"/>
    </xf>
    <xf numFmtId="4" fontId="83" fillId="0" borderId="7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0" xfId="110" applyNumberFormat="1" applyFon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7" xfId="11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9" fontId="0" fillId="0" borderId="7" xfId="110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21" fillId="30" borderId="7" xfId="0" applyFont="1" applyFill="1" applyBorder="1" applyAlignment="1">
      <alignment horizontal="center" vertical="center"/>
    </xf>
    <xf numFmtId="10" fontId="0" fillId="30" borderId="7" xfId="110" applyNumberFormat="1" applyFont="1" applyFill="1" applyBorder="1" applyAlignment="1">
      <alignment horizontal="center" vertical="center"/>
    </xf>
    <xf numFmtId="4" fontId="0" fillId="30" borderId="7" xfId="0" applyNumberFormat="1" applyFont="1" applyFill="1" applyBorder="1" applyAlignment="1">
      <alignment horizontal="right" vertical="center"/>
    </xf>
    <xf numFmtId="14" fontId="0" fillId="30" borderId="7" xfId="0" applyNumberFormat="1" applyFont="1" applyFill="1" applyBorder="1" applyAlignment="1">
      <alignment horizontal="center" vertical="center"/>
    </xf>
    <xf numFmtId="2" fontId="0" fillId="30" borderId="7" xfId="0" applyNumberFormat="1" applyFont="1" applyFill="1" applyBorder="1" applyAlignment="1">
      <alignment horizontal="right" vertical="center"/>
    </xf>
    <xf numFmtId="0" fontId="21" fillId="30" borderId="7" xfId="0" applyFont="1" applyFill="1" applyBorder="1" applyAlignment="1">
      <alignment vertical="center"/>
    </xf>
    <xf numFmtId="2" fontId="21" fillId="30" borderId="7" xfId="0" applyNumberFormat="1" applyFont="1" applyFill="1" applyBorder="1" applyAlignment="1">
      <alignment horizontal="right" vertical="center"/>
    </xf>
    <xf numFmtId="10" fontId="0" fillId="30" borderId="7" xfId="0" applyNumberFormat="1" applyFont="1" applyFill="1" applyBorder="1" applyAlignment="1">
      <alignment/>
    </xf>
    <xf numFmtId="4" fontId="0" fillId="30" borderId="7" xfId="0" applyNumberFormat="1" applyFont="1" applyFill="1" applyBorder="1" applyAlignment="1">
      <alignment/>
    </xf>
    <xf numFmtId="4" fontId="24" fillId="0" borderId="0" xfId="0" applyNumberFormat="1" applyFont="1" applyAlignment="1">
      <alignment horizontal="center" vertical="center"/>
    </xf>
    <xf numFmtId="43" fontId="24" fillId="0" borderId="0" xfId="0" applyNumberFormat="1" applyFont="1" applyAlignment="1">
      <alignment horizontal="center" vertical="center"/>
    </xf>
    <xf numFmtId="0" fontId="66" fillId="0" borderId="40" xfId="92" applyFont="1" applyFill="1" applyBorder="1" applyAlignment="1">
      <alignment horizontal="center" vertical="center" wrapText="1"/>
      <protection/>
    </xf>
    <xf numFmtId="0" fontId="66" fillId="0" borderId="30" xfId="92" applyFont="1" applyFill="1" applyBorder="1" applyAlignment="1">
      <alignment horizontal="center" vertical="center"/>
      <protection/>
    </xf>
    <xf numFmtId="0" fontId="66" fillId="0" borderId="14" xfId="92" applyFont="1" applyFill="1" applyBorder="1" applyAlignment="1">
      <alignment horizontal="center" vertical="center" wrapText="1"/>
      <protection/>
    </xf>
    <xf numFmtId="0" fontId="66" fillId="0" borderId="38" xfId="92" applyFont="1" applyFill="1" applyBorder="1" applyAlignment="1">
      <alignment horizontal="center" vertical="center" wrapText="1"/>
      <protection/>
    </xf>
    <xf numFmtId="0" fontId="66" fillId="0" borderId="38" xfId="92" applyFont="1" applyFill="1" applyBorder="1" applyAlignment="1">
      <alignment horizontal="center" vertical="center"/>
      <protection/>
    </xf>
    <xf numFmtId="0" fontId="66" fillId="0" borderId="41" xfId="92" applyFont="1" applyFill="1" applyBorder="1" applyAlignment="1">
      <alignment horizontal="center" vertical="center" wrapText="1"/>
      <protection/>
    </xf>
    <xf numFmtId="189" fontId="67" fillId="0" borderId="42" xfId="92" applyNumberFormat="1" applyFont="1" applyFill="1" applyBorder="1" applyAlignment="1">
      <alignment horizontal="center" vertical="center"/>
      <protection/>
    </xf>
    <xf numFmtId="185" fontId="67" fillId="0" borderId="17" xfId="92" applyNumberFormat="1" applyFont="1" applyFill="1" applyBorder="1" applyAlignment="1">
      <alignment horizontal="center" vertical="center"/>
      <protection/>
    </xf>
    <xf numFmtId="190" fontId="67" fillId="0" borderId="17" xfId="84" applyNumberFormat="1" applyFont="1" applyFill="1" applyBorder="1" applyAlignment="1">
      <alignment horizontal="right" vertical="center" indent="1"/>
    </xf>
    <xf numFmtId="10" fontId="67" fillId="0" borderId="43" xfId="110" applyNumberFormat="1" applyFont="1" applyFill="1" applyBorder="1" applyAlignment="1">
      <alignment horizontal="center" vertical="center"/>
    </xf>
    <xf numFmtId="190" fontId="67" fillId="0" borderId="43" xfId="92" applyNumberFormat="1" applyFont="1" applyFill="1" applyBorder="1" applyAlignment="1">
      <alignment horizontal="center" vertical="center"/>
      <protection/>
    </xf>
    <xf numFmtId="10" fontId="67" fillId="0" borderId="43" xfId="92" applyNumberFormat="1" applyFont="1" applyFill="1" applyBorder="1" applyAlignment="1">
      <alignment horizontal="center" vertical="center"/>
      <protection/>
    </xf>
    <xf numFmtId="0" fontId="84" fillId="0" borderId="44" xfId="92" applyNumberFormat="1" applyFont="1" applyFill="1" applyBorder="1" applyAlignment="1">
      <alignment horizontal="center" vertical="center"/>
      <protection/>
    </xf>
    <xf numFmtId="190" fontId="67" fillId="0" borderId="30" xfId="84" applyNumberFormat="1" applyFont="1" applyFill="1" applyBorder="1" applyAlignment="1">
      <alignment horizontal="right" vertical="center" indent="1"/>
    </xf>
    <xf numFmtId="4" fontId="66" fillId="0" borderId="45" xfId="92" applyNumberFormat="1" applyFont="1" applyFill="1" applyBorder="1" applyAlignment="1">
      <alignment horizontal="right" vertical="center" indent="1"/>
      <protection/>
    </xf>
    <xf numFmtId="4" fontId="66" fillId="0" borderId="45" xfId="92" applyNumberFormat="1" applyFont="1" applyFill="1" applyBorder="1" applyAlignment="1">
      <alignment horizontal="right" vertical="center"/>
      <protection/>
    </xf>
    <xf numFmtId="10" fontId="66" fillId="0" borderId="45" xfId="92" applyNumberFormat="1" applyFont="1" applyFill="1" applyBorder="1" applyAlignment="1">
      <alignment horizontal="center" vertical="center"/>
      <protection/>
    </xf>
    <xf numFmtId="10" fontId="66" fillId="0" borderId="45" xfId="92" applyNumberFormat="1" applyFont="1" applyFill="1" applyBorder="1" applyAlignment="1">
      <alignment horizontal="right" vertical="center"/>
      <protection/>
    </xf>
    <xf numFmtId="4" fontId="66" fillId="0" borderId="46" xfId="92" applyNumberFormat="1" applyFont="1" applyFill="1" applyBorder="1" applyAlignment="1">
      <alignment horizontal="right" vertical="center"/>
      <protection/>
    </xf>
    <xf numFmtId="190" fontId="0" fillId="0" borderId="0" xfId="0" applyNumberFormat="1" applyAlignment="1">
      <alignment/>
    </xf>
    <xf numFmtId="0" fontId="8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vertical="center"/>
    </xf>
    <xf numFmtId="0" fontId="54" fillId="0" borderId="0" xfId="92" applyFont="1" applyFill="1" applyBorder="1" applyAlignment="1">
      <alignment vertical="center"/>
      <protection/>
    </xf>
    <xf numFmtId="14" fontId="53" fillId="0" borderId="0" xfId="92" applyNumberFormat="1" applyFont="1" applyFill="1" applyBorder="1" applyAlignment="1">
      <alignment horizontal="left" vertical="center"/>
      <protection/>
    </xf>
    <xf numFmtId="0" fontId="86" fillId="0" borderId="0" xfId="0" applyFont="1" applyFill="1" applyBorder="1" applyAlignment="1">
      <alignment/>
    </xf>
    <xf numFmtId="0" fontId="52" fillId="0" borderId="0" xfId="92" applyNumberFormat="1" applyFont="1" applyFill="1" applyBorder="1" applyAlignment="1">
      <alignment horizontal="right" vertical="center"/>
      <protection/>
    </xf>
    <xf numFmtId="0" fontId="53" fillId="0" borderId="0" xfId="92" applyNumberFormat="1" applyFont="1" applyFill="1" applyBorder="1" applyAlignment="1">
      <alignment vertical="center"/>
      <protection/>
    </xf>
    <xf numFmtId="0" fontId="33" fillId="27" borderId="0" xfId="0" applyFont="1" applyFill="1" applyBorder="1" applyAlignment="1">
      <alignment horizontal="left" vertical="center"/>
    </xf>
    <xf numFmtId="4" fontId="33" fillId="27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31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right" vertical="center"/>
    </xf>
    <xf numFmtId="0" fontId="33" fillId="31" borderId="7" xfId="0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horizontal="right" vertical="center"/>
    </xf>
    <xf numFmtId="4" fontId="33" fillId="31" borderId="7" xfId="0" applyNumberFormat="1" applyFont="1" applyFill="1" applyBorder="1" applyAlignment="1">
      <alignment vertical="center"/>
    </xf>
    <xf numFmtId="4" fontId="33" fillId="31" borderId="7" xfId="0" applyNumberFormat="1" applyFont="1" applyFill="1" applyBorder="1" applyAlignment="1">
      <alignment horizontal="right" vertical="center"/>
    </xf>
    <xf numFmtId="4" fontId="34" fillId="0" borderId="7" xfId="0" applyNumberFormat="1" applyFont="1" applyFill="1" applyBorder="1" applyAlignment="1">
      <alignment vertical="center"/>
    </xf>
    <xf numFmtId="4" fontId="34" fillId="31" borderId="7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34" fillId="0" borderId="6" xfId="0" applyFont="1" applyFill="1" applyBorder="1" applyAlignment="1">
      <alignment vertical="center"/>
    </xf>
    <xf numFmtId="0" fontId="33" fillId="0" borderId="6" xfId="0" applyFont="1" applyFill="1" applyBorder="1" applyAlignment="1">
      <alignment horizontal="right" vertical="center"/>
    </xf>
    <xf numFmtId="4" fontId="34" fillId="0" borderId="6" xfId="0" applyNumberFormat="1" applyFont="1" applyFill="1" applyBorder="1" applyAlignment="1">
      <alignment vertical="center"/>
    </xf>
    <xf numFmtId="4" fontId="34" fillId="0" borderId="48" xfId="0" applyNumberFormat="1" applyFont="1" applyFill="1" applyBorder="1" applyAlignment="1">
      <alignment vertical="center"/>
    </xf>
    <xf numFmtId="0" fontId="55" fillId="32" borderId="0" xfId="92" applyNumberFormat="1" applyFont="1" applyFill="1" applyBorder="1" applyAlignment="1">
      <alignment vertical="center"/>
      <protection/>
    </xf>
    <xf numFmtId="0" fontId="20" fillId="32" borderId="0" xfId="92" applyFont="1" applyFill="1" applyBorder="1" applyAlignment="1">
      <alignment vertical="center"/>
      <protection/>
    </xf>
    <xf numFmtId="14" fontId="56" fillId="32" borderId="0" xfId="9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56" fillId="32" borderId="0" xfId="92" applyNumberFormat="1" applyFont="1" applyFill="1" applyBorder="1" applyAlignment="1">
      <alignment vertical="center"/>
      <protection/>
    </xf>
    <xf numFmtId="0" fontId="85" fillId="0" borderId="38" xfId="0" applyFont="1" applyFill="1" applyBorder="1" applyAlignment="1">
      <alignment horizontal="center"/>
    </xf>
    <xf numFmtId="0" fontId="85" fillId="0" borderId="39" xfId="0" applyFont="1" applyFill="1" applyBorder="1" applyAlignment="1">
      <alignment horizontal="center"/>
    </xf>
    <xf numFmtId="0" fontId="52" fillId="0" borderId="38" xfId="92" applyNumberFormat="1" applyFont="1" applyFill="1" applyBorder="1" applyAlignment="1">
      <alignment vertical="center"/>
      <protection/>
    </xf>
    <xf numFmtId="0" fontId="53" fillId="0" borderId="39" xfId="92" applyNumberFormat="1" applyFont="1" applyFill="1" applyBorder="1" applyAlignment="1">
      <alignment vertical="center"/>
      <protection/>
    </xf>
    <xf numFmtId="0" fontId="55" fillId="32" borderId="38" xfId="92" applyNumberFormat="1" applyFont="1" applyFill="1" applyBorder="1" applyAlignment="1">
      <alignment vertical="center"/>
      <protection/>
    </xf>
    <xf numFmtId="0" fontId="56" fillId="32" borderId="39" xfId="92" applyNumberFormat="1" applyFont="1" applyFill="1" applyBorder="1" applyAlignment="1">
      <alignment vertical="center"/>
      <protection/>
    </xf>
    <xf numFmtId="0" fontId="87" fillId="0" borderId="19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72" fillId="33" borderId="49" xfId="92" applyFont="1" applyFill="1" applyBorder="1" applyAlignment="1">
      <alignment horizontal="center" vertical="center" wrapText="1"/>
      <protection/>
    </xf>
    <xf numFmtId="0" fontId="72" fillId="33" borderId="50" xfId="92" applyFont="1" applyFill="1" applyBorder="1" applyAlignment="1">
      <alignment horizontal="center" vertical="center" wrapText="1"/>
      <protection/>
    </xf>
    <xf numFmtId="0" fontId="72" fillId="33" borderId="49" xfId="92" applyFont="1" applyFill="1" applyBorder="1" applyAlignment="1">
      <alignment horizontal="center" vertical="center"/>
      <protection/>
    </xf>
    <xf numFmtId="0" fontId="72" fillId="33" borderId="50" xfId="92" applyFont="1" applyFill="1" applyBorder="1" applyAlignment="1">
      <alignment horizontal="center" vertical="center"/>
      <protection/>
    </xf>
    <xf numFmtId="0" fontId="88" fillId="0" borderId="44" xfId="92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166" fontId="20" fillId="0" borderId="0" xfId="77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77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21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103" applyNumberFormat="1" applyFont="1" applyFill="1" applyBorder="1" applyAlignment="1">
      <alignment horizontal="left"/>
      <protection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1" fillId="0" borderId="38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34" fillId="0" borderId="7" xfId="0" applyFont="1" applyFill="1" applyBorder="1" applyAlignment="1">
      <alignment horizontal="left" vertical="center"/>
    </xf>
    <xf numFmtId="0" fontId="34" fillId="0" borderId="47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192" fontId="79" fillId="0" borderId="7" xfId="0" applyNumberFormat="1" applyFont="1" applyFill="1" applyBorder="1" applyAlignment="1">
      <alignment horizontal="center" vertical="center" wrapText="1"/>
    </xf>
    <xf numFmtId="192" fontId="79" fillId="0" borderId="55" xfId="0" applyNumberFormat="1" applyFont="1" applyFill="1" applyBorder="1" applyAlignment="1">
      <alignment horizontal="center" vertical="center" wrapText="1"/>
    </xf>
    <xf numFmtId="192" fontId="74" fillId="0" borderId="7" xfId="0" applyNumberFormat="1" applyFont="1" applyFill="1" applyBorder="1" applyAlignment="1">
      <alignment vertical="center" wrapText="1"/>
    </xf>
    <xf numFmtId="192" fontId="79" fillId="0" borderId="56" xfId="0" applyNumberFormat="1" applyFont="1" applyFill="1" applyBorder="1" applyAlignment="1">
      <alignment horizontal="center" vertical="center" wrapText="1"/>
    </xf>
    <xf numFmtId="192" fontId="79" fillId="0" borderId="57" xfId="0" applyNumberFormat="1" applyFont="1" applyFill="1" applyBorder="1" applyAlignment="1">
      <alignment horizontal="center" vertical="center" wrapText="1"/>
    </xf>
    <xf numFmtId="4" fontId="34" fillId="0" borderId="33" xfId="0" applyNumberFormat="1" applyFont="1" applyFill="1" applyBorder="1" applyAlignment="1">
      <alignment vertical="center"/>
    </xf>
    <xf numFmtId="4" fontId="34" fillId="0" borderId="51" xfId="0" applyNumberFormat="1" applyFont="1" applyFill="1" applyBorder="1" applyAlignment="1">
      <alignment vertical="center"/>
    </xf>
    <xf numFmtId="4" fontId="34" fillId="0" borderId="36" xfId="0" applyNumberFormat="1" applyFont="1" applyFill="1" applyBorder="1" applyAlignment="1">
      <alignment vertical="center"/>
    </xf>
    <xf numFmtId="4" fontId="34" fillId="0" borderId="53" xfId="0" applyNumberFormat="1" applyFont="1" applyFill="1" applyBorder="1" applyAlignment="1">
      <alignment vertical="center"/>
    </xf>
    <xf numFmtId="0" fontId="80" fillId="34" borderId="7" xfId="0" applyFont="1" applyFill="1" applyBorder="1" applyAlignment="1">
      <alignment horizontal="center" vertical="center" wrapText="1"/>
    </xf>
    <xf numFmtId="0" fontId="80" fillId="34" borderId="55" xfId="0" applyFont="1" applyFill="1" applyBorder="1" applyAlignment="1">
      <alignment horizontal="center" vertical="center" wrapText="1"/>
    </xf>
    <xf numFmtId="0" fontId="33" fillId="34" borderId="7" xfId="0" applyFont="1" applyFill="1" applyBorder="1" applyAlignment="1">
      <alignment horizontal="right" vertical="center"/>
    </xf>
    <xf numFmtId="0" fontId="33" fillId="34" borderId="7" xfId="0" applyFont="1" applyFill="1" applyBorder="1" applyAlignment="1">
      <alignment vertical="center"/>
    </xf>
    <xf numFmtId="0" fontId="59" fillId="34" borderId="58" xfId="0" applyFont="1" applyFill="1" applyBorder="1" applyAlignment="1">
      <alignment horizontal="center"/>
    </xf>
    <xf numFmtId="0" fontId="59" fillId="34" borderId="59" xfId="0" applyFont="1" applyFill="1" applyBorder="1" applyAlignment="1">
      <alignment horizontal="center"/>
    </xf>
    <xf numFmtId="0" fontId="59" fillId="34" borderId="60" xfId="0" applyFont="1" applyFill="1" applyBorder="1" applyAlignment="1">
      <alignment horizontal="center"/>
    </xf>
    <xf numFmtId="0" fontId="34" fillId="27" borderId="38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3" fillId="27" borderId="0" xfId="0" applyFont="1" applyFill="1" applyBorder="1" applyAlignment="1">
      <alignment horizontal="left" vertical="center"/>
    </xf>
    <xf numFmtId="0" fontId="33" fillId="27" borderId="39" xfId="0" applyFont="1" applyFill="1" applyBorder="1" applyAlignment="1">
      <alignment horizontal="left" vertical="center"/>
    </xf>
    <xf numFmtId="0" fontId="89" fillId="0" borderId="38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39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50" fillId="34" borderId="47" xfId="0" applyFont="1" applyFill="1" applyBorder="1" applyAlignment="1">
      <alignment horizontal="center" vertical="center"/>
    </xf>
    <xf numFmtId="0" fontId="50" fillId="34" borderId="6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/>
    </xf>
    <xf numFmtId="4" fontId="34" fillId="35" borderId="61" xfId="0" applyNumberFormat="1" applyFont="1" applyFill="1" applyBorder="1" applyAlignment="1">
      <alignment horizontal="center" vertical="center"/>
    </xf>
    <xf numFmtId="4" fontId="34" fillId="35" borderId="5" xfId="0" applyNumberFormat="1" applyFont="1" applyFill="1" applyBorder="1" applyAlignment="1">
      <alignment horizontal="center" vertical="center"/>
    </xf>
    <xf numFmtId="4" fontId="34" fillId="35" borderId="62" xfId="0" applyNumberFormat="1" applyFont="1" applyFill="1" applyBorder="1" applyAlignment="1">
      <alignment horizontal="center" vertical="center"/>
    </xf>
    <xf numFmtId="0" fontId="35" fillId="34" borderId="61" xfId="0" applyFont="1" applyFill="1" applyBorder="1" applyAlignment="1">
      <alignment horizontal="center" vertical="center"/>
    </xf>
    <xf numFmtId="0" fontId="35" fillId="34" borderId="5" xfId="0" applyFont="1" applyFill="1" applyBorder="1" applyAlignment="1">
      <alignment horizontal="center" vertical="center"/>
    </xf>
    <xf numFmtId="0" fontId="35" fillId="34" borderId="62" xfId="0" applyFont="1" applyFill="1" applyBorder="1" applyAlignment="1">
      <alignment horizontal="center" vertical="center"/>
    </xf>
    <xf numFmtId="0" fontId="34" fillId="31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/>
    </xf>
    <xf numFmtId="0" fontId="24" fillId="27" borderId="3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80" fillId="0" borderId="63" xfId="0" applyFont="1" applyFill="1" applyBorder="1" applyAlignment="1">
      <alignment horizontal="center" vertical="center" wrapText="1"/>
    </xf>
    <xf numFmtId="0" fontId="80" fillId="0" borderId="6" xfId="0" applyFont="1" applyFill="1" applyBorder="1" applyAlignment="1">
      <alignment horizontal="center" vertical="center" wrapText="1"/>
    </xf>
    <xf numFmtId="0" fontId="80" fillId="36" borderId="61" xfId="0" applyFont="1" applyFill="1" applyBorder="1" applyAlignment="1">
      <alignment horizontal="center" vertical="center"/>
    </xf>
    <xf numFmtId="0" fontId="80" fillId="36" borderId="5" xfId="0" applyFont="1" applyFill="1" applyBorder="1" applyAlignment="1">
      <alignment horizontal="center" vertical="center"/>
    </xf>
    <xf numFmtId="0" fontId="80" fillId="36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80" fillId="34" borderId="64" xfId="0" applyFont="1" applyFill="1" applyBorder="1" applyAlignment="1">
      <alignment horizontal="center" vertical="center" wrapText="1"/>
    </xf>
    <xf numFmtId="0" fontId="80" fillId="34" borderId="40" xfId="0" applyFont="1" applyFill="1" applyBorder="1" applyAlignment="1">
      <alignment horizontal="center" vertical="center" wrapText="1"/>
    </xf>
    <xf numFmtId="0" fontId="80" fillId="34" borderId="65" xfId="0" applyFont="1" applyFill="1" applyBorder="1" applyAlignment="1">
      <alignment horizontal="center" vertical="center" wrapText="1"/>
    </xf>
    <xf numFmtId="0" fontId="80" fillId="34" borderId="66" xfId="0" applyFont="1" applyFill="1" applyBorder="1" applyAlignment="1">
      <alignment horizontal="center" vertical="center" wrapText="1"/>
    </xf>
    <xf numFmtId="0" fontId="80" fillId="34" borderId="67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39" xfId="0" applyFont="1" applyFill="1" applyBorder="1" applyAlignment="1">
      <alignment horizontal="center"/>
    </xf>
    <xf numFmtId="0" fontId="57" fillId="36" borderId="61" xfId="92" applyNumberFormat="1" applyFont="1" applyFill="1" applyBorder="1" applyAlignment="1">
      <alignment horizontal="center" vertical="center"/>
      <protection/>
    </xf>
    <xf numFmtId="0" fontId="58" fillId="36" borderId="5" xfId="92" applyNumberFormat="1" applyFont="1" applyFill="1" applyBorder="1" applyAlignment="1">
      <alignment horizontal="center" vertical="center"/>
      <protection/>
    </xf>
    <xf numFmtId="0" fontId="58" fillId="36" borderId="62" xfId="92" applyNumberFormat="1" applyFont="1" applyFill="1" applyBorder="1" applyAlignment="1">
      <alignment horizontal="center" vertical="center"/>
      <protection/>
    </xf>
    <xf numFmtId="0" fontId="24" fillId="0" borderId="39" xfId="0" applyFont="1" applyFill="1" applyBorder="1" applyAlignment="1">
      <alignment horizontal="left" vertical="center" wrapText="1"/>
    </xf>
    <xf numFmtId="0" fontId="66" fillId="0" borderId="68" xfId="92" applyFont="1" applyFill="1" applyBorder="1" applyAlignment="1">
      <alignment horizontal="center" vertical="center"/>
      <protection/>
    </xf>
    <xf numFmtId="0" fontId="66" fillId="0" borderId="69" xfId="92" applyFont="1" applyFill="1" applyBorder="1" applyAlignment="1">
      <alignment horizontal="center" vertical="center"/>
      <protection/>
    </xf>
    <xf numFmtId="0" fontId="55" fillId="32" borderId="20" xfId="92" applyNumberFormat="1" applyFont="1" applyFill="1" applyBorder="1" applyAlignment="1">
      <alignment horizontal="center" vertical="center"/>
      <protection/>
    </xf>
    <xf numFmtId="0" fontId="55" fillId="32" borderId="0" xfId="92" applyNumberFormat="1" applyFont="1" applyFill="1" applyAlignment="1">
      <alignment horizontal="center" vertical="center"/>
      <protection/>
    </xf>
    <xf numFmtId="0" fontId="55" fillId="32" borderId="27" xfId="92" applyNumberFormat="1" applyFont="1" applyFill="1" applyBorder="1" applyAlignment="1">
      <alignment horizontal="center" vertical="center"/>
      <protection/>
    </xf>
    <xf numFmtId="0" fontId="87" fillId="36" borderId="61" xfId="0" applyFont="1" applyFill="1" applyBorder="1" applyAlignment="1">
      <alignment horizontal="center" vertical="center"/>
    </xf>
    <xf numFmtId="0" fontId="87" fillId="36" borderId="5" xfId="0" applyFont="1" applyFill="1" applyBorder="1" applyAlignment="1">
      <alignment horizontal="center" vertical="center"/>
    </xf>
    <xf numFmtId="0" fontId="87" fillId="36" borderId="62" xfId="0" applyFont="1" applyFill="1" applyBorder="1" applyAlignment="1">
      <alignment horizontal="center" vertical="center"/>
    </xf>
    <xf numFmtId="0" fontId="72" fillId="33" borderId="64" xfId="92" applyFont="1" applyFill="1" applyBorder="1" applyAlignment="1">
      <alignment horizontal="center" vertical="center" wrapText="1"/>
      <protection/>
    </xf>
    <xf numFmtId="0" fontId="72" fillId="33" borderId="40" xfId="92" applyFont="1" applyFill="1" applyBorder="1" applyAlignment="1">
      <alignment horizontal="center" vertical="center" wrapText="1"/>
      <protection/>
    </xf>
    <xf numFmtId="0" fontId="72" fillId="33" borderId="70" xfId="92" applyFont="1" applyFill="1" applyBorder="1" applyAlignment="1">
      <alignment horizontal="center" vertical="center" wrapText="1"/>
      <protection/>
    </xf>
    <xf numFmtId="0" fontId="72" fillId="33" borderId="66" xfId="92" applyFont="1" applyFill="1" applyBorder="1" applyAlignment="1">
      <alignment horizontal="center" vertical="center"/>
      <protection/>
    </xf>
    <xf numFmtId="0" fontId="72" fillId="33" borderId="7" xfId="92" applyFont="1" applyFill="1" applyBorder="1" applyAlignment="1">
      <alignment horizontal="center" vertical="center"/>
      <protection/>
    </xf>
    <xf numFmtId="0" fontId="72" fillId="33" borderId="71" xfId="92" applyFont="1" applyFill="1" applyBorder="1" applyAlignment="1">
      <alignment horizontal="center" vertical="center"/>
      <protection/>
    </xf>
    <xf numFmtId="0" fontId="72" fillId="33" borderId="72" xfId="92" applyFont="1" applyFill="1" applyBorder="1" applyAlignment="1">
      <alignment horizontal="center" vertical="center" wrapText="1"/>
      <protection/>
    </xf>
    <xf numFmtId="0" fontId="72" fillId="33" borderId="20" xfId="92" applyFont="1" applyFill="1" applyBorder="1" applyAlignment="1">
      <alignment horizontal="center" vertical="center" wrapText="1"/>
      <protection/>
    </xf>
    <xf numFmtId="0" fontId="72" fillId="33" borderId="73" xfId="92" applyFont="1" applyFill="1" applyBorder="1" applyAlignment="1">
      <alignment horizontal="center" vertical="center" wrapText="1"/>
      <protection/>
    </xf>
    <xf numFmtId="0" fontId="72" fillId="33" borderId="52" xfId="92" applyFont="1" applyFill="1" applyBorder="1" applyAlignment="1">
      <alignment horizontal="center" vertical="center" wrapText="1"/>
      <protection/>
    </xf>
    <xf numFmtId="0" fontId="72" fillId="33" borderId="36" xfId="92" applyFont="1" applyFill="1" applyBorder="1" applyAlignment="1">
      <alignment horizontal="center" vertical="center" wrapText="1"/>
      <protection/>
    </xf>
    <xf numFmtId="0" fontId="72" fillId="33" borderId="53" xfId="92" applyFont="1" applyFill="1" applyBorder="1" applyAlignment="1">
      <alignment horizontal="center" vertical="center" wrapText="1"/>
      <protection/>
    </xf>
    <xf numFmtId="0" fontId="72" fillId="33" borderId="67" xfId="92" applyFont="1" applyFill="1" applyBorder="1" applyAlignment="1">
      <alignment horizontal="center" vertical="center" wrapText="1"/>
      <protection/>
    </xf>
    <xf numFmtId="0" fontId="72" fillId="33" borderId="55" xfId="92" applyFont="1" applyFill="1" applyBorder="1" applyAlignment="1">
      <alignment horizontal="center" vertical="center" wrapText="1"/>
      <protection/>
    </xf>
    <xf numFmtId="0" fontId="72" fillId="33" borderId="74" xfId="92" applyFont="1" applyFill="1" applyBorder="1" applyAlignment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1" fillId="3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7" fillId="36" borderId="26" xfId="92" applyNumberFormat="1" applyFont="1" applyFill="1" applyBorder="1" applyAlignment="1">
      <alignment horizontal="center" vertical="center"/>
      <protection/>
    </xf>
    <xf numFmtId="0" fontId="57" fillId="36" borderId="27" xfId="92" applyNumberFormat="1" applyFont="1" applyFill="1" applyBorder="1" applyAlignment="1">
      <alignment horizontal="center" vertical="center"/>
      <protection/>
    </xf>
    <xf numFmtId="0" fontId="57" fillId="36" borderId="28" xfId="92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79" fillId="31" borderId="75" xfId="100" applyFont="1" applyFill="1" applyBorder="1" applyAlignment="1">
      <alignment horizontal="center"/>
      <protection/>
    </xf>
    <xf numFmtId="0" fontId="79" fillId="31" borderId="62" xfId="100" applyFont="1" applyFill="1" applyBorder="1" applyAlignment="1">
      <alignment horizontal="center"/>
      <protection/>
    </xf>
    <xf numFmtId="0" fontId="79" fillId="28" borderId="14" xfId="100" applyFont="1" applyFill="1" applyBorder="1" applyAlignment="1">
      <alignment horizontal="center"/>
      <protection/>
    </xf>
    <xf numFmtId="0" fontId="79" fillId="28" borderId="33" xfId="100" applyFont="1" applyFill="1" applyBorder="1" applyAlignment="1">
      <alignment horizontal="center"/>
      <protection/>
    </xf>
    <xf numFmtId="0" fontId="79" fillId="28" borderId="51" xfId="100" applyFont="1" applyFill="1" applyBorder="1" applyAlignment="1">
      <alignment horizontal="center"/>
      <protection/>
    </xf>
    <xf numFmtId="0" fontId="78" fillId="30" borderId="20" xfId="100" applyFont="1" applyFill="1" applyBorder="1" applyAlignment="1">
      <alignment horizontal="center" vertical="center" wrapText="1" shrinkToFit="1"/>
      <protection/>
    </xf>
    <xf numFmtId="0" fontId="78" fillId="30" borderId="24" xfId="100" applyFont="1" applyFill="1" applyBorder="1" applyAlignment="1">
      <alignment horizontal="center" vertical="center" wrapText="1" shrinkToFit="1"/>
      <protection/>
    </xf>
    <xf numFmtId="0" fontId="78" fillId="30" borderId="0" xfId="100" applyFont="1" applyFill="1" applyBorder="1" applyAlignment="1">
      <alignment horizontal="center" vertical="center" wrapText="1" shrinkToFit="1"/>
      <protection/>
    </xf>
    <xf numFmtId="0" fontId="78" fillId="30" borderId="25" xfId="100" applyFont="1" applyFill="1" applyBorder="1" applyAlignment="1">
      <alignment horizontal="center" vertical="center" wrapText="1" shrinkToFit="1"/>
      <protection/>
    </xf>
    <xf numFmtId="0" fontId="80" fillId="34" borderId="76" xfId="0" applyFont="1" applyFill="1" applyBorder="1" applyAlignment="1">
      <alignment horizontal="center" vertical="center"/>
    </xf>
    <xf numFmtId="0" fontId="80" fillId="34" borderId="77" xfId="0" applyFont="1" applyFill="1" applyBorder="1" applyAlignment="1">
      <alignment horizontal="center" vertical="center" wrapText="1"/>
    </xf>
    <xf numFmtId="186" fontId="80" fillId="0" borderId="47" xfId="0" applyNumberFormat="1" applyFont="1" applyFill="1" applyBorder="1" applyAlignment="1">
      <alignment vertical="center" wrapText="1"/>
    </xf>
    <xf numFmtId="186" fontId="80" fillId="0" borderId="78" xfId="0" applyNumberFormat="1" applyFont="1" applyFill="1" applyBorder="1" applyAlignment="1">
      <alignment vertical="center" wrapText="1"/>
    </xf>
    <xf numFmtId="0" fontId="80" fillId="34" borderId="38" xfId="0" applyFont="1" applyFill="1" applyBorder="1" applyAlignment="1">
      <alignment horizontal="center" vertical="center"/>
    </xf>
    <xf numFmtId="0" fontId="80" fillId="34" borderId="52" xfId="0" applyFont="1" applyFill="1" applyBorder="1" applyAlignment="1">
      <alignment horizontal="center" vertical="center"/>
    </xf>
    <xf numFmtId="0" fontId="80" fillId="0" borderId="7" xfId="0" applyFont="1" applyFill="1" applyBorder="1" applyAlignment="1">
      <alignment vertical="center" wrapText="1"/>
    </xf>
    <xf numFmtId="17" fontId="79" fillId="0" borderId="47" xfId="0" applyNumberFormat="1" applyFont="1" applyFill="1" applyBorder="1" applyAlignment="1">
      <alignment horizontal="center" vertical="center"/>
    </xf>
    <xf numFmtId="0" fontId="80" fillId="0" borderId="79" xfId="0" applyFont="1" applyFill="1" applyBorder="1" applyAlignment="1">
      <alignment horizontal="center" vertical="center"/>
    </xf>
    <xf numFmtId="0" fontId="80" fillId="0" borderId="80" xfId="0" applyFont="1" applyFill="1" applyBorder="1" applyAlignment="1">
      <alignment horizontal="center" vertical="center"/>
    </xf>
    <xf numFmtId="0" fontId="80" fillId="34" borderId="81" xfId="0" applyFont="1" applyFill="1" applyBorder="1" applyAlignment="1">
      <alignment horizontal="center" vertical="center" wrapText="1"/>
    </xf>
    <xf numFmtId="186" fontId="80" fillId="0" borderId="55" xfId="0" applyNumberFormat="1" applyFont="1" applyFill="1" applyBorder="1" applyAlignment="1">
      <alignment vertical="center" wrapText="1"/>
    </xf>
    <xf numFmtId="192" fontId="74" fillId="0" borderId="55" xfId="0" applyNumberFormat="1" applyFont="1" applyFill="1" applyBorder="1" applyAlignment="1">
      <alignment vertical="center" wrapText="1"/>
    </xf>
    <xf numFmtId="0" fontId="80" fillId="34" borderId="82" xfId="0" applyFont="1" applyFill="1" applyBorder="1" applyAlignment="1">
      <alignment horizontal="center" vertical="center" wrapText="1"/>
    </xf>
    <xf numFmtId="0" fontId="80" fillId="34" borderId="54" xfId="0" applyFont="1" applyFill="1" applyBorder="1" applyAlignment="1">
      <alignment horizontal="center" vertical="center" wrapText="1"/>
    </xf>
    <xf numFmtId="9" fontId="80" fillId="0" borderId="54" xfId="0" applyNumberFormat="1" applyFont="1" applyFill="1" applyBorder="1" applyAlignment="1">
      <alignment horizontal="center" vertical="center" wrapText="1"/>
    </xf>
    <xf numFmtId="192" fontId="74" fillId="0" borderId="54" xfId="0" applyNumberFormat="1" applyFont="1" applyFill="1" applyBorder="1" applyAlignment="1">
      <alignment vertical="center" wrapText="1"/>
    </xf>
    <xf numFmtId="192" fontId="79" fillId="35" borderId="83" xfId="0" applyNumberFormat="1" applyFont="1" applyFill="1" applyBorder="1" applyAlignment="1">
      <alignment horizontal="center" vertical="center" wrapText="1"/>
    </xf>
    <xf numFmtId="192" fontId="79" fillId="35" borderId="57" xfId="0" applyNumberFormat="1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/>
    </xf>
    <xf numFmtId="0" fontId="59" fillId="34" borderId="5" xfId="0" applyFont="1" applyFill="1" applyBorder="1" applyAlignment="1">
      <alignment horizontal="center"/>
    </xf>
    <xf numFmtId="0" fontId="59" fillId="34" borderId="62" xfId="0" applyFont="1" applyFill="1" applyBorder="1" applyAlignment="1">
      <alignment horizontal="center"/>
    </xf>
    <xf numFmtId="0" fontId="80" fillId="34" borderId="61" xfId="0" applyFont="1" applyFill="1" applyBorder="1" applyAlignment="1">
      <alignment horizontal="center" vertical="center"/>
    </xf>
    <xf numFmtId="0" fontId="80" fillId="34" borderId="5" xfId="0" applyFont="1" applyFill="1" applyBorder="1" applyAlignment="1">
      <alignment horizontal="center" vertical="center"/>
    </xf>
    <xf numFmtId="0" fontId="80" fillId="34" borderId="62" xfId="0" applyFont="1" applyFill="1" applyBorder="1" applyAlignment="1">
      <alignment horizontal="center" vertical="center"/>
    </xf>
    <xf numFmtId="192" fontId="79" fillId="0" borderId="54" xfId="0" applyNumberFormat="1" applyFont="1" applyFill="1" applyBorder="1" applyAlignment="1">
      <alignment vertical="center" wrapText="1"/>
    </xf>
    <xf numFmtId="192" fontId="79" fillId="0" borderId="7" xfId="0" applyNumberFormat="1" applyFont="1" applyFill="1" applyBorder="1" applyAlignment="1">
      <alignment vertical="center" wrapText="1"/>
    </xf>
    <xf numFmtId="192" fontId="79" fillId="0" borderId="55" xfId="0" applyNumberFormat="1" applyFon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84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166" fontId="0" fillId="0" borderId="0" xfId="77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91" fontId="0" fillId="0" borderId="0" xfId="77" applyNumberFormat="1" applyFont="1" applyFill="1" applyBorder="1" applyAlignment="1">
      <alignment horizontal="right" vertical="center"/>
    </xf>
    <xf numFmtId="192" fontId="0" fillId="0" borderId="0" xfId="0" applyNumberFormat="1" applyFont="1" applyBorder="1" applyAlignment="1">
      <alignment horizontal="left" vertical="center"/>
    </xf>
    <xf numFmtId="0" fontId="87" fillId="0" borderId="38" xfId="0" applyFont="1" applyFill="1" applyBorder="1" applyAlignment="1">
      <alignment horizontal="center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gs.style" xfId="33"/>
    <cellStyle name="Bueno" xfId="34"/>
    <cellStyle name="Calc Currency (0)" xfId="35"/>
    <cellStyle name="Cálculo" xfId="36"/>
    <cellStyle name="Celda de comprobación" xfId="37"/>
    <cellStyle name="Celda vinculada" xfId="38"/>
    <cellStyle name="Comma [0]_!!!GO" xfId="39"/>
    <cellStyle name="Comma_!!!GO" xfId="40"/>
    <cellStyle name="Copied" xfId="41"/>
    <cellStyle name="COST1" xfId="42"/>
    <cellStyle name="Currency [0]_!!!GO" xfId="43"/>
    <cellStyle name="Currency_!!!GO" xfId="44"/>
    <cellStyle name="Dia" xfId="45"/>
    <cellStyle name="Encabez1" xfId="46"/>
    <cellStyle name="Encabez2" xfId="47"/>
    <cellStyle name="Encabezado 1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ed" xfId="56"/>
    <cellStyle name="Entrada" xfId="57"/>
    <cellStyle name="Euro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Fijo" xfId="66"/>
    <cellStyle name="Financiero" xfId="67"/>
    <cellStyle name="Grey" xfId="68"/>
    <cellStyle name="Header1" xfId="69"/>
    <cellStyle name="Header2" xfId="70"/>
    <cellStyle name="Hyperlink" xfId="71"/>
    <cellStyle name="Followed Hyperlink" xfId="72"/>
    <cellStyle name="Incorrecto" xfId="73"/>
    <cellStyle name="Input [yellow]" xfId="74"/>
    <cellStyle name="Input Cells" xfId="75"/>
    <cellStyle name="Linked Cells" xfId="76"/>
    <cellStyle name="Comma" xfId="77"/>
    <cellStyle name="Comma [0]" xfId="78"/>
    <cellStyle name="Millares 2" xfId="79"/>
    <cellStyle name="Millares 2 2" xfId="80"/>
    <cellStyle name="Millares 3" xfId="81"/>
    <cellStyle name="Milliers [0]_!!!GO" xfId="82"/>
    <cellStyle name="Milliers_!!!GO" xfId="83"/>
    <cellStyle name="Currency" xfId="84"/>
    <cellStyle name="Currency [0]" xfId="85"/>
    <cellStyle name="Moneda 3" xfId="86"/>
    <cellStyle name="Monétaire [0]_!!!GO" xfId="87"/>
    <cellStyle name="Monétaire_!!!GO" xfId="88"/>
    <cellStyle name="Monetario" xfId="89"/>
    <cellStyle name="Neutral" xfId="90"/>
    <cellStyle name="Normal - Style1" xfId="91"/>
    <cellStyle name="Normal 14" xfId="92"/>
    <cellStyle name="Normal 2" xfId="93"/>
    <cellStyle name="Normal 2 2" xfId="94"/>
    <cellStyle name="Normal 2 5" xfId="95"/>
    <cellStyle name="Normal 3" xfId="96"/>
    <cellStyle name="Normal 3 17" xfId="97"/>
    <cellStyle name="Normal 4" xfId="98"/>
    <cellStyle name="Normal 5" xfId="99"/>
    <cellStyle name="Normal 5 2" xfId="100"/>
    <cellStyle name="Normal 6" xfId="101"/>
    <cellStyle name="Normal 7" xfId="102"/>
    <cellStyle name="Normal_VAL Nº5-E4-CONSTRUCCIÓN DE LA PAVIMENTACIÓN PROLONGACIÓN UNIÓN-CORREGIDA" xfId="103"/>
    <cellStyle name="Notas" xfId="104"/>
    <cellStyle name="Œ…‹æØ‚è [0.00]_!!!GO" xfId="105"/>
    <cellStyle name="Œ…‹æØ‚è_!!!GO" xfId="106"/>
    <cellStyle name="per.style" xfId="107"/>
    <cellStyle name="Percent [2]" xfId="108"/>
    <cellStyle name="PERSONAL" xfId="109"/>
    <cellStyle name="Percent" xfId="110"/>
    <cellStyle name="Porcentual 2" xfId="111"/>
    <cellStyle name="pricing" xfId="112"/>
    <cellStyle name="PSChar" xfId="113"/>
    <cellStyle name="RevList" xfId="114"/>
    <cellStyle name="Salida" xfId="115"/>
    <cellStyle name="Subtotal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5"/>
          <c:y val="0.0115"/>
          <c:w val="0.91825"/>
          <c:h val="0.91375"/>
        </c:manualLayout>
      </c:layout>
      <c:lineChart>
        <c:grouping val="standard"/>
        <c:varyColors val="0"/>
        <c:ser>
          <c:idx val="0"/>
          <c:order val="0"/>
          <c:tx>
            <c:v>PROGRAMADO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'CURVA S'!$C$51:$C$57</c:f>
              <c:strCache/>
            </c:strRef>
          </c:cat>
          <c:val>
            <c:numRef>
              <c:f>'CURVA S'!$G$50:$G$57</c:f>
              <c:numCache/>
            </c:numRef>
          </c:val>
          <c:smooth val="1"/>
        </c:ser>
        <c:ser>
          <c:idx val="1"/>
          <c:order val="1"/>
          <c:tx>
            <c:v>EJECUTADO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'CURVA S'!$C$51:$C$57</c:f>
              <c:strCache/>
            </c:strRef>
          </c:cat>
          <c:val>
            <c:numRef>
              <c:f>'CURVA S'!$K$50:$K$51</c:f>
              <c:numCache/>
            </c:numRef>
          </c:val>
          <c:smooth val="1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6E0EC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92375"/>
          <c:w val="0.24975"/>
          <c:h val="0.0517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38100</xdr:rowOff>
    </xdr:from>
    <xdr:to>
      <xdr:col>11</xdr:col>
      <xdr:colOff>704850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323850" y="3448050"/>
        <a:ext cx="8439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LANDO%20CH%20(E)\ARCHIVO%20ZORRITOS\Valorizacion%2008\Valorizacion08_Zorri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alorizacion%2001%20GSRLC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an%20V&#233;liz\Trujillo\Ficha%20FES-PES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IOJEX\SAN%20JUAN%20LICUPIS\VALORIZACION%20N6\SUPERVISION\SAN%20ANTONIO%20-%20CHOTA\Agua%20y%20Desague%20San%20Antonio%20-%20Chota%20-%20noviembre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GAR\My%20Documents\Valdemar%20C&#233;sar%20Vera%20V&#225;squez\MUNICIPALIDAD%20%20DISTRITAL%20DE%20CHICAMA_LIQUIDACI&#211;N\CUADROS%20VARIOS\Juan%20V&#233;liz\Trujillo\Ficha%20FES-PE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01"/>
      <sheetName val="For 02"/>
      <sheetName val="For 03"/>
      <sheetName val="For 04"/>
      <sheetName val="For 05"/>
      <sheetName val="For 06"/>
      <sheetName val="For 07"/>
      <sheetName val="For 08"/>
      <sheetName val="For 09"/>
      <sheetName val="For 010"/>
      <sheetName val="Resumen"/>
      <sheetName val="RESUMEN ACUMUL"/>
      <sheetName val="Amortizac"/>
      <sheetName val="ReajusteAdelantada"/>
      <sheetName val="Deduct1abril"/>
      <sheetName val="Deduct1mayo"/>
      <sheetName val="Deduct1junio"/>
      <sheetName val="Deduct1julio"/>
      <sheetName val="Deduct1Agosto"/>
      <sheetName val="Deduct1_Octubre"/>
      <sheetName val="ControlAmort_1"/>
      <sheetName val="Deduct2Setiem"/>
      <sheetName val="Deduct2_Octubre"/>
      <sheetName val="ControlAmort_2"/>
      <sheetName val="RESUMEN AMORT"/>
      <sheetName val="ReintMax"/>
      <sheetName val="Deductivos1 Coef"/>
      <sheetName val="Observaciones"/>
      <sheetName val="Amortizac1Adel"/>
      <sheetName val="Amortizac2Ad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 02"/>
      <sheetName val="Resumen02"/>
      <sheetName val="Formula 04"/>
      <sheetName val="Resumen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LOC963"/>
      <sheetName val="PESP"/>
      <sheetName val="PESP (2)"/>
      <sheetName val="PESP-RURAL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ato obra"/>
      <sheetName val="Caratula sup"/>
      <sheetName val="Folder"/>
      <sheetName val="Areas Geo"/>
      <sheetName val="Divisiones"/>
      <sheetName val="Anexo"/>
      <sheetName val="VALO-AGUA"/>
      <sheetName val="VALO-DESAGUE"/>
      <sheetName val="VALO-GENER"/>
      <sheetName val="METRADO"/>
      <sheetName val="RESUMEN DE VALO 05"/>
      <sheetName val="Control Avance"/>
      <sheetName val="CURVAS S"/>
      <sheetName val="k"/>
      <sheetName val="Reintegro"/>
      <sheetName val="V.Liq"/>
      <sheetName val="CANCELAR A CONTRATISTA"/>
      <sheetName val="AD"/>
      <sheetName val="FOTOS "/>
      <sheetName val="CARTA_Valo Nº 15"/>
      <sheetName val="CARTA_PAGO SUP"/>
      <sheetName val="Generalidades"/>
      <sheetName val="Control Avance Físico"/>
      <sheetName val="Control Obra"/>
      <sheetName val="Conclus.,Recomend."/>
      <sheetName val="PAGO SUP Nº 5"/>
      <sheetName val="CalculoPago5"/>
      <sheetName val="RESUMEN ACUMUL"/>
      <sheetName val="Doc Su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LOC963"/>
      <sheetName val="PESP"/>
      <sheetName val="PESP (2)"/>
      <sheetName val="PESP-RURAL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S47"/>
  <sheetViews>
    <sheetView view="pageBreakPreview" zoomScaleSheetLayoutView="100" zoomScalePageLayoutView="0" workbookViewId="0" topLeftCell="A28">
      <selection activeCell="B45" sqref="B45:L45"/>
    </sheetView>
  </sheetViews>
  <sheetFormatPr defaultColWidth="11.421875" defaultRowHeight="12.75"/>
  <cols>
    <col min="1" max="1" width="4.00390625" style="4" customWidth="1"/>
    <col min="2" max="2" width="3.8515625" style="5" customWidth="1"/>
    <col min="3" max="3" width="10.7109375" style="4" customWidth="1"/>
    <col min="4" max="4" width="9.57421875" style="4" customWidth="1"/>
    <col min="5" max="5" width="5.57421875" style="4" customWidth="1"/>
    <col min="6" max="6" width="10.57421875" style="4" customWidth="1"/>
    <col min="7" max="7" width="8.28125" style="4" customWidth="1"/>
    <col min="8" max="8" width="11.7109375" style="4" customWidth="1"/>
    <col min="9" max="9" width="10.140625" style="4" customWidth="1"/>
    <col min="10" max="10" width="8.57421875" style="4" customWidth="1"/>
    <col min="11" max="11" width="10.00390625" style="4" customWidth="1"/>
    <col min="12" max="12" width="9.00390625" style="4" customWidth="1"/>
    <col min="13" max="13" width="4.28125" style="4" customWidth="1"/>
    <col min="14" max="14" width="11.28125" style="4" customWidth="1"/>
    <col min="15" max="15" width="10.00390625" style="4" customWidth="1"/>
    <col min="16" max="16" width="11.421875" style="4" customWidth="1"/>
    <col min="17" max="19" width="6.140625" style="4" bestFit="1" customWidth="1"/>
    <col min="20" max="16384" width="11.421875" style="4" customWidth="1"/>
  </cols>
  <sheetData>
    <row r="1" ht="13.5" thickBot="1"/>
    <row r="2" spans="2:16" ht="29.25" thickBot="1">
      <c r="B2" s="226" t="str">
        <f>+CONCATENATE("VALORIZACIÓN DE SUPERVISIÓN N° 0",P2)</f>
        <v>VALORIZACIÓN DE SUPERVISIÓN N° 01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N2" s="55"/>
      <c r="P2" s="4">
        <v>1</v>
      </c>
    </row>
    <row r="3" spans="2:14" ht="18">
      <c r="B3" s="233" t="s">
        <v>180</v>
      </c>
      <c r="C3" s="234"/>
      <c r="D3" s="234"/>
      <c r="E3" s="234"/>
      <c r="F3" s="234"/>
      <c r="G3" s="234"/>
      <c r="H3" s="234"/>
      <c r="I3" s="234"/>
      <c r="J3" s="234"/>
      <c r="K3" s="234"/>
      <c r="L3" s="235"/>
      <c r="N3" s="55"/>
    </row>
    <row r="4" spans="2:14" ht="3" customHeight="1">
      <c r="B4" s="62"/>
      <c r="C4" s="6"/>
      <c r="D4" s="6"/>
      <c r="E4" s="6"/>
      <c r="F4" s="6"/>
      <c r="G4" s="6"/>
      <c r="H4" s="6"/>
      <c r="I4" s="6"/>
      <c r="J4" s="6"/>
      <c r="K4" s="6"/>
      <c r="L4" s="63"/>
      <c r="N4" s="55"/>
    </row>
    <row r="5" spans="2:14" ht="15" customHeight="1">
      <c r="B5" s="229" t="s">
        <v>46</v>
      </c>
      <c r="C5" s="230"/>
      <c r="D5" s="230"/>
      <c r="E5" s="231" t="s">
        <v>166</v>
      </c>
      <c r="F5" s="231"/>
      <c r="G5" s="231"/>
      <c r="H5" s="231"/>
      <c r="I5" s="231"/>
      <c r="J5" s="231"/>
      <c r="K5" s="231"/>
      <c r="L5" s="232"/>
      <c r="N5" s="55"/>
    </row>
    <row r="6" spans="2:14" ht="15" customHeight="1">
      <c r="B6" s="229" t="s">
        <v>0</v>
      </c>
      <c r="C6" s="230"/>
      <c r="D6" s="230"/>
      <c r="E6" s="231" t="s">
        <v>142</v>
      </c>
      <c r="F6" s="231"/>
      <c r="G6" s="231"/>
      <c r="H6" s="231"/>
      <c r="I6" s="231"/>
      <c r="J6" s="231"/>
      <c r="K6" s="231"/>
      <c r="L6" s="232"/>
      <c r="N6" s="55"/>
    </row>
    <row r="7" spans="2:14" ht="47.25" customHeight="1">
      <c r="B7" s="229" t="s">
        <v>39</v>
      </c>
      <c r="C7" s="230"/>
      <c r="D7" s="230"/>
      <c r="E7" s="250" t="s">
        <v>165</v>
      </c>
      <c r="F7" s="250"/>
      <c r="G7" s="250"/>
      <c r="H7" s="250"/>
      <c r="I7" s="250"/>
      <c r="J7" s="250"/>
      <c r="K7" s="250"/>
      <c r="L7" s="251"/>
      <c r="N7" s="55"/>
    </row>
    <row r="8" spans="2:15" ht="15" customHeight="1">
      <c r="B8" s="229" t="s">
        <v>1</v>
      </c>
      <c r="C8" s="230"/>
      <c r="D8" s="230"/>
      <c r="E8" s="252" t="s">
        <v>168</v>
      </c>
      <c r="F8" s="252"/>
      <c r="G8" s="252"/>
      <c r="H8" s="252"/>
      <c r="I8" s="252"/>
      <c r="J8" s="252"/>
      <c r="K8" s="252"/>
      <c r="L8" s="253"/>
      <c r="N8" s="61"/>
      <c r="O8" s="7"/>
    </row>
    <row r="9" spans="2:15" ht="15" customHeight="1">
      <c r="B9" s="229" t="s">
        <v>47</v>
      </c>
      <c r="C9" s="230"/>
      <c r="D9" s="230"/>
      <c r="E9" s="231" t="s">
        <v>169</v>
      </c>
      <c r="F9" s="231"/>
      <c r="G9" s="231"/>
      <c r="H9" s="231"/>
      <c r="I9" s="231"/>
      <c r="J9" s="231"/>
      <c r="K9" s="231"/>
      <c r="L9" s="232"/>
      <c r="M9" s="55"/>
      <c r="N9" s="7"/>
      <c r="O9" s="7"/>
    </row>
    <row r="10" spans="2:13" ht="15" customHeight="1">
      <c r="B10" s="229" t="s">
        <v>3</v>
      </c>
      <c r="C10" s="230"/>
      <c r="D10" s="230"/>
      <c r="E10" s="133" t="s">
        <v>2</v>
      </c>
      <c r="F10" s="134">
        <v>245259.89</v>
      </c>
      <c r="G10" s="6" t="s">
        <v>124</v>
      </c>
      <c r="H10" s="6"/>
      <c r="I10" s="6"/>
      <c r="J10" s="6"/>
      <c r="K10" s="6"/>
      <c r="L10" s="63"/>
      <c r="M10" s="55"/>
    </row>
    <row r="11" spans="2:15" ht="15" customHeight="1">
      <c r="B11" s="236" t="s">
        <v>3</v>
      </c>
      <c r="C11" s="237"/>
      <c r="D11" s="237"/>
      <c r="E11" s="126" t="s">
        <v>2</v>
      </c>
      <c r="F11" s="134">
        <v>207847.37</v>
      </c>
      <c r="G11" s="238" t="s">
        <v>131</v>
      </c>
      <c r="H11" s="238"/>
      <c r="I11" s="238"/>
      <c r="J11" s="238"/>
      <c r="K11" s="238"/>
      <c r="L11" s="239"/>
      <c r="M11" s="55"/>
      <c r="N11" s="7"/>
      <c r="O11" s="7"/>
    </row>
    <row r="12" spans="2:15" ht="15" customHeight="1">
      <c r="B12" s="236" t="s">
        <v>4</v>
      </c>
      <c r="C12" s="237"/>
      <c r="D12" s="237"/>
      <c r="E12" s="238" t="s">
        <v>179</v>
      </c>
      <c r="F12" s="238"/>
      <c r="G12" s="238"/>
      <c r="H12" s="238"/>
      <c r="I12" s="238"/>
      <c r="J12" s="238"/>
      <c r="K12" s="238"/>
      <c r="L12" s="239"/>
      <c r="M12" s="55"/>
      <c r="N12" s="7"/>
      <c r="O12" s="7"/>
    </row>
    <row r="13" spans="2:15" ht="15" customHeight="1">
      <c r="B13" s="236" t="s">
        <v>149</v>
      </c>
      <c r="C13" s="237"/>
      <c r="D13" s="237"/>
      <c r="E13" s="238" t="s">
        <v>150</v>
      </c>
      <c r="F13" s="238"/>
      <c r="G13" s="238"/>
      <c r="H13" s="238"/>
      <c r="I13" s="238"/>
      <c r="J13" s="238"/>
      <c r="K13" s="238"/>
      <c r="L13" s="239"/>
      <c r="N13" s="7"/>
      <c r="O13" s="7"/>
    </row>
    <row r="14" spans="2:15" ht="3.75" customHeight="1" thickBot="1">
      <c r="B14" s="136"/>
      <c r="C14" s="125"/>
      <c r="D14" s="125"/>
      <c r="E14" s="126"/>
      <c r="F14" s="126"/>
      <c r="G14" s="126"/>
      <c r="H14" s="126"/>
      <c r="I14" s="126"/>
      <c r="J14" s="126"/>
      <c r="K14" s="126"/>
      <c r="L14" s="137"/>
      <c r="N14" s="7"/>
      <c r="O14" s="7"/>
    </row>
    <row r="15" spans="1:15" ht="17.25" thickBot="1">
      <c r="A15" s="55"/>
      <c r="B15" s="246" t="str">
        <f>+CONCATENATE(" RESUMEN DE VALORIZACIÓN DE SUPERVISIÓN N° 0",P2)</f>
        <v> RESUMEN DE VALORIZACIÓN DE SUPERVISIÓN N° 01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8"/>
      <c r="N15" s="7"/>
      <c r="O15" s="7"/>
    </row>
    <row r="16" spans="1:15" ht="6.75" customHeight="1">
      <c r="A16" s="5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N16" s="7"/>
      <c r="O16" s="7"/>
    </row>
    <row r="17" spans="2:15" ht="12.75">
      <c r="B17" s="138" t="s">
        <v>25</v>
      </c>
      <c r="C17" s="139" t="s">
        <v>26</v>
      </c>
      <c r="D17" s="140"/>
      <c r="E17" s="140"/>
      <c r="F17" s="140"/>
      <c r="G17" s="140"/>
      <c r="H17" s="141" t="s">
        <v>120</v>
      </c>
      <c r="I17" s="141" t="s">
        <v>24</v>
      </c>
      <c r="J17" s="249" t="s">
        <v>18</v>
      </c>
      <c r="K17" s="141" t="s">
        <v>24</v>
      </c>
      <c r="L17" s="141" t="s">
        <v>40</v>
      </c>
      <c r="N17" s="7"/>
      <c r="O17" s="7"/>
    </row>
    <row r="18" spans="2:15" ht="12.75">
      <c r="B18" s="138"/>
      <c r="C18" s="139"/>
      <c r="D18" s="140"/>
      <c r="E18" s="140"/>
      <c r="F18" s="140"/>
      <c r="G18" s="140"/>
      <c r="H18" s="141" t="s">
        <v>121</v>
      </c>
      <c r="I18" s="141" t="s">
        <v>17</v>
      </c>
      <c r="J18" s="249"/>
      <c r="K18" s="141" t="s">
        <v>18</v>
      </c>
      <c r="L18" s="141"/>
      <c r="N18" s="7"/>
      <c r="O18" s="7"/>
    </row>
    <row r="19" spans="2:15" ht="12.75">
      <c r="B19" s="138"/>
      <c r="C19" s="140"/>
      <c r="D19" s="140"/>
      <c r="E19" s="140"/>
      <c r="F19" s="140"/>
      <c r="G19" s="140"/>
      <c r="H19" s="141" t="s">
        <v>19</v>
      </c>
      <c r="I19" s="141" t="s">
        <v>19</v>
      </c>
      <c r="J19" s="142" t="s">
        <v>19</v>
      </c>
      <c r="K19" s="141" t="s">
        <v>19</v>
      </c>
      <c r="L19" s="141" t="s">
        <v>19</v>
      </c>
      <c r="N19" s="7"/>
      <c r="O19" s="7"/>
    </row>
    <row r="20" spans="2:15" ht="12.75">
      <c r="B20" s="143" t="s">
        <v>5</v>
      </c>
      <c r="C20" s="139" t="s">
        <v>6</v>
      </c>
      <c r="D20" s="140"/>
      <c r="E20" s="140"/>
      <c r="F20" s="140"/>
      <c r="G20" s="140"/>
      <c r="H20" s="140"/>
      <c r="I20" s="140"/>
      <c r="J20" s="144"/>
      <c r="K20" s="140"/>
      <c r="L20" s="140"/>
      <c r="N20" s="7"/>
      <c r="O20" s="7"/>
    </row>
    <row r="21" spans="2:15" ht="12.75">
      <c r="B21" s="138"/>
      <c r="C21" s="140" t="s">
        <v>7</v>
      </c>
      <c r="D21" s="140"/>
      <c r="E21" s="140"/>
      <c r="F21" s="140"/>
      <c r="G21" s="138" t="s">
        <v>27</v>
      </c>
      <c r="H21" s="145">
        <f>F11</f>
        <v>207847.37</v>
      </c>
      <c r="I21" s="146">
        <v>0</v>
      </c>
      <c r="J21" s="147">
        <f>+'1.- CalculoPago'!H30</f>
        <v>28966.09</v>
      </c>
      <c r="K21" s="145">
        <f>+I21+J21</f>
        <v>28966.09</v>
      </c>
      <c r="L21" s="145">
        <f>+H21-K21</f>
        <v>178881.28</v>
      </c>
      <c r="N21" s="102">
        <f>+L21+K21</f>
        <v>207847.37</v>
      </c>
      <c r="O21" s="103">
        <f>+N21-H21</f>
        <v>0</v>
      </c>
    </row>
    <row r="22" spans="2:15" ht="12.75">
      <c r="B22" s="138"/>
      <c r="C22" s="140" t="s">
        <v>8</v>
      </c>
      <c r="D22" s="140"/>
      <c r="E22" s="140"/>
      <c r="F22" s="140"/>
      <c r="G22" s="138" t="s">
        <v>28</v>
      </c>
      <c r="H22" s="146"/>
      <c r="I22" s="146">
        <v>0</v>
      </c>
      <c r="J22" s="147">
        <v>0</v>
      </c>
      <c r="K22" s="145">
        <v>0</v>
      </c>
      <c r="L22" s="145">
        <f>+J22+K22</f>
        <v>0</v>
      </c>
      <c r="N22" s="102">
        <f aca="true" t="shared" si="0" ref="N22:N39">+L22+K22</f>
        <v>0</v>
      </c>
      <c r="O22" s="103">
        <f aca="true" t="shared" si="1" ref="O22:O39">+N22-H22</f>
        <v>0</v>
      </c>
    </row>
    <row r="23" spans="2:15" ht="12.75">
      <c r="B23" s="138"/>
      <c r="C23" s="140" t="s">
        <v>9</v>
      </c>
      <c r="D23" s="140"/>
      <c r="E23" s="140"/>
      <c r="F23" s="140"/>
      <c r="G23" s="138" t="s">
        <v>30</v>
      </c>
      <c r="H23" s="145">
        <f>+H21</f>
        <v>207847.37</v>
      </c>
      <c r="I23" s="145">
        <f>I21+I22</f>
        <v>0</v>
      </c>
      <c r="J23" s="147">
        <f>J21+J22</f>
        <v>28966.09</v>
      </c>
      <c r="K23" s="145">
        <f>K21+K22</f>
        <v>28966.09</v>
      </c>
      <c r="L23" s="145">
        <f>+L21</f>
        <v>178881.28</v>
      </c>
      <c r="N23" s="102">
        <f t="shared" si="0"/>
        <v>207847.37</v>
      </c>
      <c r="O23" s="103">
        <f t="shared" si="1"/>
        <v>0</v>
      </c>
    </row>
    <row r="24" spans="2:15" ht="12.75">
      <c r="B24" s="143" t="s">
        <v>10</v>
      </c>
      <c r="C24" s="139" t="s">
        <v>11</v>
      </c>
      <c r="D24" s="140"/>
      <c r="E24" s="140"/>
      <c r="F24" s="140"/>
      <c r="G24" s="140"/>
      <c r="H24" s="145"/>
      <c r="I24" s="146"/>
      <c r="J24" s="147"/>
      <c r="K24" s="145"/>
      <c r="L24" s="145"/>
      <c r="N24" s="102">
        <f t="shared" si="0"/>
        <v>0</v>
      </c>
      <c r="O24" s="103">
        <f t="shared" si="1"/>
        <v>0</v>
      </c>
    </row>
    <row r="25" spans="2:15" ht="12.75">
      <c r="B25" s="138"/>
      <c r="C25" s="140" t="s">
        <v>12</v>
      </c>
      <c r="D25" s="140"/>
      <c r="E25" s="140"/>
      <c r="F25" s="140"/>
      <c r="G25" s="138" t="s">
        <v>31</v>
      </c>
      <c r="H25" s="146">
        <v>0</v>
      </c>
      <c r="I25" s="146">
        <v>0</v>
      </c>
      <c r="J25" s="148">
        <v>0</v>
      </c>
      <c r="K25" s="146">
        <v>0</v>
      </c>
      <c r="L25" s="146">
        <v>0</v>
      </c>
      <c r="N25" s="102">
        <f t="shared" si="0"/>
        <v>0</v>
      </c>
      <c r="O25" s="103">
        <f t="shared" si="1"/>
        <v>0</v>
      </c>
    </row>
    <row r="26" spans="2:15" ht="12.75">
      <c r="B26" s="224"/>
      <c r="C26" s="225" t="s">
        <v>13</v>
      </c>
      <c r="D26" s="225"/>
      <c r="E26" s="225"/>
      <c r="F26" s="225"/>
      <c r="G26" s="224" t="s">
        <v>32</v>
      </c>
      <c r="H26" s="146">
        <v>0</v>
      </c>
      <c r="I26" s="146">
        <v>0</v>
      </c>
      <c r="J26" s="148">
        <v>0</v>
      </c>
      <c r="K26" s="146">
        <v>0</v>
      </c>
      <c r="L26" s="146">
        <v>0</v>
      </c>
      <c r="N26" s="102">
        <f t="shared" si="0"/>
        <v>0</v>
      </c>
      <c r="O26" s="103">
        <f t="shared" si="1"/>
        <v>0</v>
      </c>
    </row>
    <row r="27" spans="2:15" ht="12.75">
      <c r="B27" s="224"/>
      <c r="C27" s="225" t="s">
        <v>22</v>
      </c>
      <c r="D27" s="225"/>
      <c r="E27" s="225"/>
      <c r="F27" s="225"/>
      <c r="G27" s="224" t="s">
        <v>33</v>
      </c>
      <c r="H27" s="146">
        <v>0</v>
      </c>
      <c r="I27" s="146">
        <v>0</v>
      </c>
      <c r="J27" s="148">
        <v>0</v>
      </c>
      <c r="K27" s="146">
        <v>0</v>
      </c>
      <c r="L27" s="146">
        <v>0</v>
      </c>
      <c r="N27" s="102">
        <f t="shared" si="0"/>
        <v>0</v>
      </c>
      <c r="O27" s="103">
        <f t="shared" si="1"/>
        <v>0</v>
      </c>
    </row>
    <row r="28" spans="2:15" ht="12.75">
      <c r="B28" s="224"/>
      <c r="C28" s="225"/>
      <c r="D28" s="225"/>
      <c r="E28" s="225"/>
      <c r="F28" s="225"/>
      <c r="G28" s="225"/>
      <c r="H28" s="145"/>
      <c r="I28" s="146"/>
      <c r="J28" s="144"/>
      <c r="K28" s="140"/>
      <c r="L28" s="140"/>
      <c r="N28" s="102">
        <f t="shared" si="0"/>
        <v>0</v>
      </c>
      <c r="O28" s="103">
        <f t="shared" si="1"/>
        <v>0</v>
      </c>
    </row>
    <row r="29" spans="2:19" ht="12.75">
      <c r="B29" s="143" t="s">
        <v>14</v>
      </c>
      <c r="C29" s="139" t="s">
        <v>34</v>
      </c>
      <c r="D29" s="140"/>
      <c r="E29" s="140"/>
      <c r="F29" s="140"/>
      <c r="G29" s="140"/>
      <c r="H29" s="145"/>
      <c r="I29" s="146"/>
      <c r="J29" s="144"/>
      <c r="K29" s="140"/>
      <c r="L29" s="140"/>
      <c r="N29" s="102">
        <f t="shared" si="0"/>
        <v>0</v>
      </c>
      <c r="O29" s="103">
        <f t="shared" si="1"/>
        <v>0</v>
      </c>
      <c r="P29" s="55"/>
      <c r="Q29" s="55"/>
      <c r="R29" s="55"/>
      <c r="S29" s="55"/>
    </row>
    <row r="30" spans="2:19" ht="12.75">
      <c r="B30" s="138"/>
      <c r="C30" s="140" t="s">
        <v>44</v>
      </c>
      <c r="D30" s="140"/>
      <c r="E30" s="140"/>
      <c r="F30" s="140"/>
      <c r="G30" s="138" t="s">
        <v>29</v>
      </c>
      <c r="H30" s="146">
        <f>H23</f>
        <v>207847.37</v>
      </c>
      <c r="I30" s="146">
        <f>+I23</f>
        <v>0</v>
      </c>
      <c r="J30" s="148">
        <f>J23</f>
        <v>28966.09</v>
      </c>
      <c r="K30" s="146">
        <f>+K23-K27</f>
        <v>28966.09</v>
      </c>
      <c r="L30" s="146">
        <f>+L23-L27</f>
        <v>178881.28</v>
      </c>
      <c r="N30" s="102">
        <f t="shared" si="0"/>
        <v>207847.37</v>
      </c>
      <c r="O30" s="103">
        <f t="shared" si="1"/>
        <v>0</v>
      </c>
      <c r="P30" s="55"/>
      <c r="Q30" s="55"/>
      <c r="R30" s="55"/>
      <c r="S30" s="55"/>
    </row>
    <row r="31" spans="2:19" ht="12.75">
      <c r="B31" s="138"/>
      <c r="C31" s="140" t="s">
        <v>12</v>
      </c>
      <c r="D31" s="140"/>
      <c r="E31" s="140"/>
      <c r="F31" s="140"/>
      <c r="G31" s="138" t="s">
        <v>36</v>
      </c>
      <c r="H31" s="146"/>
      <c r="I31" s="146">
        <v>0</v>
      </c>
      <c r="J31" s="147">
        <f>J27</f>
        <v>0</v>
      </c>
      <c r="K31" s="145">
        <f>K25</f>
        <v>0</v>
      </c>
      <c r="L31" s="145">
        <f>L25</f>
        <v>0</v>
      </c>
      <c r="N31" s="102">
        <f t="shared" si="0"/>
        <v>0</v>
      </c>
      <c r="O31" s="103">
        <f t="shared" si="1"/>
        <v>0</v>
      </c>
      <c r="P31" s="55"/>
      <c r="Q31" s="55"/>
      <c r="R31" s="55"/>
      <c r="S31" s="55"/>
    </row>
    <row r="32" spans="2:19" ht="12.75">
      <c r="B32" s="138"/>
      <c r="C32" s="140" t="s">
        <v>13</v>
      </c>
      <c r="D32" s="140"/>
      <c r="E32" s="140"/>
      <c r="F32" s="140"/>
      <c r="G32" s="138" t="s">
        <v>32</v>
      </c>
      <c r="H32" s="146"/>
      <c r="I32" s="146">
        <v>0</v>
      </c>
      <c r="J32" s="147">
        <f>J26</f>
        <v>0</v>
      </c>
      <c r="K32" s="145">
        <f>K26</f>
        <v>0</v>
      </c>
      <c r="L32" s="145">
        <f>L26</f>
        <v>0</v>
      </c>
      <c r="N32" s="102">
        <f t="shared" si="0"/>
        <v>0</v>
      </c>
      <c r="O32" s="103">
        <f t="shared" si="1"/>
        <v>0</v>
      </c>
      <c r="P32" s="42"/>
      <c r="Q32" s="55"/>
      <c r="R32" s="55"/>
      <c r="S32" s="55"/>
    </row>
    <row r="33" spans="2:19" ht="12.75">
      <c r="B33" s="138"/>
      <c r="C33" s="139" t="s">
        <v>35</v>
      </c>
      <c r="D33" s="140"/>
      <c r="E33" s="140"/>
      <c r="F33" s="140"/>
      <c r="G33" s="138" t="s">
        <v>37</v>
      </c>
      <c r="H33" s="149">
        <f>+H30-H31-H32</f>
        <v>207847.37</v>
      </c>
      <c r="I33" s="149">
        <f>+I30-I31-I32</f>
        <v>0</v>
      </c>
      <c r="J33" s="150">
        <f>+J30-J31-J32</f>
        <v>28966.09</v>
      </c>
      <c r="K33" s="149">
        <f>+K30-K31-K32</f>
        <v>28966.09</v>
      </c>
      <c r="L33" s="149">
        <f>+L30-L31-L32</f>
        <v>178881.28</v>
      </c>
      <c r="N33" s="102">
        <f t="shared" si="0"/>
        <v>207847.37</v>
      </c>
      <c r="O33" s="103">
        <f t="shared" si="1"/>
        <v>0</v>
      </c>
      <c r="P33" s="55"/>
      <c r="Q33" s="55"/>
      <c r="R33" s="55"/>
      <c r="S33" s="55"/>
    </row>
    <row r="34" spans="2:19" ht="12.75">
      <c r="B34" s="138"/>
      <c r="C34" s="140"/>
      <c r="D34" s="140"/>
      <c r="E34" s="140"/>
      <c r="F34" s="140"/>
      <c r="G34" s="138"/>
      <c r="H34" s="146"/>
      <c r="I34" s="145"/>
      <c r="J34" s="147"/>
      <c r="K34" s="140"/>
      <c r="L34" s="140"/>
      <c r="N34" s="102">
        <f t="shared" si="0"/>
        <v>0</v>
      </c>
      <c r="O34" s="103">
        <f t="shared" si="1"/>
        <v>0</v>
      </c>
      <c r="P34" s="55"/>
      <c r="Q34" s="42"/>
      <c r="R34" s="42"/>
      <c r="S34" s="42"/>
    </row>
    <row r="35" spans="2:19" ht="12.75">
      <c r="B35" s="138"/>
      <c r="C35" s="140"/>
      <c r="D35" s="140"/>
      <c r="E35" s="140"/>
      <c r="F35" s="140"/>
      <c r="G35" s="140"/>
      <c r="H35" s="140"/>
      <c r="I35" s="146"/>
      <c r="J35" s="147"/>
      <c r="K35" s="140"/>
      <c r="L35" s="140"/>
      <c r="N35" s="102">
        <f t="shared" si="0"/>
        <v>0</v>
      </c>
      <c r="O35" s="103">
        <f t="shared" si="1"/>
        <v>0</v>
      </c>
      <c r="P35" s="55"/>
      <c r="Q35" s="55"/>
      <c r="R35" s="55"/>
      <c r="S35" s="55"/>
    </row>
    <row r="36" spans="2:19" ht="12.75">
      <c r="B36" s="143" t="s">
        <v>15</v>
      </c>
      <c r="C36" s="139" t="s">
        <v>123</v>
      </c>
      <c r="D36" s="139"/>
      <c r="E36" s="139"/>
      <c r="F36" s="139"/>
      <c r="G36" s="143"/>
      <c r="H36" s="143"/>
      <c r="I36" s="146"/>
      <c r="J36" s="150"/>
      <c r="K36" s="139"/>
      <c r="L36" s="139"/>
      <c r="N36" s="102">
        <f t="shared" si="0"/>
        <v>0</v>
      </c>
      <c r="O36" s="103">
        <f t="shared" si="1"/>
        <v>0</v>
      </c>
      <c r="P36" s="55"/>
      <c r="Q36" s="55"/>
      <c r="R36" s="55"/>
      <c r="S36" s="55"/>
    </row>
    <row r="37" spans="2:19" ht="12.75">
      <c r="B37" s="151"/>
      <c r="C37" s="152"/>
      <c r="D37" s="153"/>
      <c r="E37" s="139" t="s">
        <v>23</v>
      </c>
      <c r="F37" s="139"/>
      <c r="G37" s="138"/>
      <c r="H37" s="145">
        <f>H23</f>
        <v>207847.37</v>
      </c>
      <c r="I37" s="145">
        <f>I33</f>
        <v>0</v>
      </c>
      <c r="J37" s="147">
        <f>J33</f>
        <v>28966.09</v>
      </c>
      <c r="K37" s="145">
        <f>+K33</f>
        <v>28966.09</v>
      </c>
      <c r="L37" s="145">
        <f>+H37-K37</f>
        <v>178881.28</v>
      </c>
      <c r="N37" s="102">
        <f t="shared" si="0"/>
        <v>207847.37</v>
      </c>
      <c r="O37" s="103">
        <f t="shared" si="1"/>
        <v>0</v>
      </c>
      <c r="P37" s="55"/>
      <c r="Q37" s="55"/>
      <c r="R37" s="55"/>
      <c r="S37" s="55"/>
    </row>
    <row r="38" spans="2:19" ht="12.75">
      <c r="B38" s="151"/>
      <c r="C38" s="152"/>
      <c r="D38" s="153"/>
      <c r="E38" s="139" t="s">
        <v>45</v>
      </c>
      <c r="F38" s="139"/>
      <c r="G38" s="138"/>
      <c r="H38" s="145">
        <f>ROUNDDOWN(H37*0.18,2)</f>
        <v>37412.52</v>
      </c>
      <c r="I38" s="145">
        <f>ROUND(I37*18%,2)</f>
        <v>0</v>
      </c>
      <c r="J38" s="147">
        <f>ROUND(J37*18%,2)</f>
        <v>5213.9</v>
      </c>
      <c r="K38" s="145">
        <f>ROUND(K37*18%,2)</f>
        <v>5213.9</v>
      </c>
      <c r="L38" s="145">
        <f>+H38-K38</f>
        <v>32198.619999999995</v>
      </c>
      <c r="N38" s="102">
        <f t="shared" si="0"/>
        <v>37412.52</v>
      </c>
      <c r="O38" s="103">
        <f t="shared" si="1"/>
        <v>0</v>
      </c>
      <c r="P38" s="55"/>
      <c r="Q38" s="55"/>
      <c r="R38" s="55"/>
      <c r="S38" s="55"/>
    </row>
    <row r="39" spans="2:19" ht="12.75">
      <c r="B39" s="151"/>
      <c r="C39" s="152"/>
      <c r="D39" s="153"/>
      <c r="E39" s="139" t="s">
        <v>200</v>
      </c>
      <c r="F39" s="139"/>
      <c r="G39" s="138" t="s">
        <v>38</v>
      </c>
      <c r="H39" s="149">
        <f>SUM(H37:H38)</f>
        <v>245259.88999999998</v>
      </c>
      <c r="I39" s="149">
        <f>SUM(I37:I38)</f>
        <v>0</v>
      </c>
      <c r="J39" s="150">
        <f>SUM(J37:J38)</f>
        <v>34179.99</v>
      </c>
      <c r="K39" s="149">
        <f>SUM(K37:K38)</f>
        <v>34179.99</v>
      </c>
      <c r="L39" s="149">
        <f>SUM(L37:L38)</f>
        <v>211079.9</v>
      </c>
      <c r="M39" s="54"/>
      <c r="N39" s="102">
        <f t="shared" si="0"/>
        <v>245259.88999999998</v>
      </c>
      <c r="O39" s="103">
        <f t="shared" si="1"/>
        <v>0</v>
      </c>
      <c r="P39" s="55"/>
      <c r="Q39" s="55"/>
      <c r="R39" s="55"/>
      <c r="S39" s="55"/>
    </row>
    <row r="40" spans="2:19" ht="6.75" customHeight="1">
      <c r="B40" s="154"/>
      <c r="C40" s="143"/>
      <c r="D40" s="156"/>
      <c r="E40" s="157"/>
      <c r="F40" s="157"/>
      <c r="G40" s="158"/>
      <c r="H40" s="159"/>
      <c r="I40" s="159"/>
      <c r="J40" s="159"/>
      <c r="K40" s="159"/>
      <c r="L40" s="160"/>
      <c r="M40" s="54"/>
      <c r="N40" s="102"/>
      <c r="O40" s="103"/>
      <c r="P40" s="55"/>
      <c r="Q40" s="55"/>
      <c r="R40" s="55"/>
      <c r="S40" s="55"/>
    </row>
    <row r="41" spans="2:19" ht="12.75" customHeight="1">
      <c r="B41" s="143" t="s">
        <v>201</v>
      </c>
      <c r="C41" s="208" t="s">
        <v>216</v>
      </c>
      <c r="D41" s="156"/>
      <c r="E41" s="157"/>
      <c r="F41" s="157"/>
      <c r="G41" s="158"/>
      <c r="H41" s="159"/>
      <c r="I41" s="159"/>
      <c r="J41" s="159">
        <f>+'RETENCION 10%'!D31</f>
        <v>8175.330000000001</v>
      </c>
      <c r="K41" s="159">
        <f>+J41</f>
        <v>8175.330000000001</v>
      </c>
      <c r="L41" s="160">
        <f>+'RETENCION 10%'!F19-'RESUMEN VAL'!K41</f>
        <v>16350.66</v>
      </c>
      <c r="M41" s="54"/>
      <c r="N41" s="102">
        <f>+K41+L41</f>
        <v>24525.99</v>
      </c>
      <c r="O41" s="103">
        <f>+N41-'RETENCION 10%'!F19</f>
        <v>0</v>
      </c>
      <c r="P41" s="55"/>
      <c r="Q41" s="55"/>
      <c r="R41" s="55"/>
      <c r="S41" s="55"/>
    </row>
    <row r="42" spans="2:19" ht="12.75" customHeight="1" thickBot="1">
      <c r="B42" s="209"/>
      <c r="C42" s="210"/>
      <c r="D42" s="156"/>
      <c r="E42" s="157"/>
      <c r="F42" s="157"/>
      <c r="G42" s="158"/>
      <c r="H42" s="159"/>
      <c r="I42" s="159"/>
      <c r="J42" s="218"/>
      <c r="K42" s="218"/>
      <c r="L42" s="219"/>
      <c r="M42" s="54"/>
      <c r="N42" s="102"/>
      <c r="O42" s="103"/>
      <c r="P42" s="55"/>
      <c r="Q42" s="55"/>
      <c r="R42" s="55"/>
      <c r="S42" s="55"/>
    </row>
    <row r="43" spans="2:19" ht="12.75" customHeight="1" thickBot="1">
      <c r="B43" s="209" t="s">
        <v>202</v>
      </c>
      <c r="C43" s="210" t="s">
        <v>203</v>
      </c>
      <c r="D43" s="156"/>
      <c r="E43" s="157"/>
      <c r="F43" s="157"/>
      <c r="G43" s="158"/>
      <c r="H43" s="159"/>
      <c r="I43" s="159"/>
      <c r="J43" s="243">
        <f>+J39-J41</f>
        <v>26004.659999999996</v>
      </c>
      <c r="K43" s="244"/>
      <c r="L43" s="245"/>
      <c r="M43" s="54"/>
      <c r="N43" s="102"/>
      <c r="O43" s="103"/>
      <c r="P43" s="55"/>
      <c r="Q43" s="55"/>
      <c r="R43" s="55"/>
      <c r="S43" s="55"/>
    </row>
    <row r="44" spans="2:19" ht="6.75" customHeight="1">
      <c r="B44" s="154"/>
      <c r="C44" s="155"/>
      <c r="D44" s="156"/>
      <c r="E44" s="157"/>
      <c r="F44" s="157"/>
      <c r="G44" s="158"/>
      <c r="H44" s="159"/>
      <c r="I44" s="159"/>
      <c r="J44" s="220"/>
      <c r="K44" s="220"/>
      <c r="L44" s="221"/>
      <c r="M44" s="54"/>
      <c r="N44" s="102"/>
      <c r="O44" s="103"/>
      <c r="P44" s="55"/>
      <c r="Q44" s="55"/>
      <c r="R44" s="55"/>
      <c r="S44" s="55"/>
    </row>
    <row r="45" spans="2:19" ht="23.25" customHeight="1">
      <c r="B45" s="240" t="s">
        <v>217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2"/>
      <c r="N45" s="56"/>
      <c r="O45" s="42"/>
      <c r="P45" s="55"/>
      <c r="Q45" s="55"/>
      <c r="R45" s="55"/>
      <c r="S45" s="55"/>
    </row>
    <row r="46" spans="2:12" ht="15.75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6:13" ht="15.75">
      <c r="F47" s="254"/>
      <c r="G47" s="254"/>
      <c r="H47" s="254"/>
      <c r="I47" s="254"/>
      <c r="J47" s="254"/>
      <c r="K47" s="254"/>
      <c r="L47" s="254"/>
      <c r="M47" s="254"/>
    </row>
  </sheetData>
  <sheetProtection/>
  <mergeCells count="25">
    <mergeCell ref="B8:D8"/>
    <mergeCell ref="E8:L8"/>
    <mergeCell ref="E9:L9"/>
    <mergeCell ref="B9:D9"/>
    <mergeCell ref="F47:M47"/>
    <mergeCell ref="B46:L46"/>
    <mergeCell ref="G11:L11"/>
    <mergeCell ref="B10:D10"/>
    <mergeCell ref="B11:D11"/>
    <mergeCell ref="B12:D12"/>
    <mergeCell ref="E12:L12"/>
    <mergeCell ref="B13:D13"/>
    <mergeCell ref="B45:L45"/>
    <mergeCell ref="E13:L13"/>
    <mergeCell ref="J43:L43"/>
    <mergeCell ref="B15:L15"/>
    <mergeCell ref="J17:J18"/>
    <mergeCell ref="B2:L2"/>
    <mergeCell ref="B5:D5"/>
    <mergeCell ref="E5:L5"/>
    <mergeCell ref="B6:D6"/>
    <mergeCell ref="E6:L6"/>
    <mergeCell ref="B7:D7"/>
    <mergeCell ref="B3:L3"/>
    <mergeCell ref="E7:L7"/>
  </mergeCells>
  <printOptions/>
  <pageMargins left="0.7480314960629921" right="0.5511811023622047" top="0.7086614173228347" bottom="0.7086614173228347" header="0.4330708661417323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H34"/>
  <sheetViews>
    <sheetView tabSelected="1" view="pageBreakPreview" zoomScaleSheetLayoutView="100" zoomScalePageLayoutView="0" workbookViewId="0" topLeftCell="A1">
      <selection activeCell="H32" sqref="H32"/>
    </sheetView>
  </sheetViews>
  <sheetFormatPr defaultColWidth="11.421875" defaultRowHeight="12.75"/>
  <cols>
    <col min="1" max="1" width="4.140625" style="0" customWidth="1"/>
    <col min="2" max="2" width="11.8515625" style="0" customWidth="1"/>
    <col min="3" max="3" width="12.8515625" style="0" customWidth="1"/>
    <col min="4" max="4" width="15.421875" style="0" customWidth="1"/>
    <col min="5" max="5" width="16.140625" style="0" customWidth="1"/>
    <col min="6" max="6" width="14.421875" style="0" customWidth="1"/>
    <col min="7" max="7" width="12.57421875" style="0" customWidth="1"/>
    <col min="8" max="8" width="13.28125" style="0" customWidth="1"/>
    <col min="9" max="9" width="4.00390625" style="0" customWidth="1"/>
  </cols>
  <sheetData>
    <row r="1" ht="13.5" thickBot="1"/>
    <row r="2" spans="2:8" ht="29.25" thickBot="1">
      <c r="B2" s="340" t="str">
        <f>+'RESUMEN VAL'!B2:L2</f>
        <v>VALORIZACIÓN DE SUPERVISIÓN N° 01</v>
      </c>
      <c r="C2" s="341"/>
      <c r="D2" s="341"/>
      <c r="E2" s="341"/>
      <c r="F2" s="341"/>
      <c r="G2" s="341"/>
      <c r="H2" s="342"/>
    </row>
    <row r="3" spans="2:8" ht="18">
      <c r="B3" s="266" t="str">
        <f>+'RESUMEN VAL'!B3:L3</f>
        <v> ( DEL 01 AL 30 DE JUNIO DEL 2021)</v>
      </c>
      <c r="C3" s="267"/>
      <c r="D3" s="267"/>
      <c r="E3" s="267"/>
      <c r="F3" s="267"/>
      <c r="G3" s="267"/>
      <c r="H3" s="349"/>
    </row>
    <row r="4" spans="2:8" ht="9" customHeight="1">
      <c r="B4" s="166"/>
      <c r="C4" s="124"/>
      <c r="D4" s="124"/>
      <c r="E4" s="124"/>
      <c r="F4" s="124"/>
      <c r="G4" s="124"/>
      <c r="H4" s="349"/>
    </row>
    <row r="5" spans="2:8" ht="12.75">
      <c r="B5" s="236" t="s">
        <v>46</v>
      </c>
      <c r="C5" s="237"/>
      <c r="D5" s="237"/>
      <c r="E5" s="238" t="s">
        <v>166</v>
      </c>
      <c r="F5" s="238"/>
      <c r="G5" s="238"/>
      <c r="H5" s="349"/>
    </row>
    <row r="6" spans="2:8" ht="12.75">
      <c r="B6" s="236" t="s">
        <v>0</v>
      </c>
      <c r="C6" s="237"/>
      <c r="D6" s="237"/>
      <c r="E6" s="238" t="s">
        <v>142</v>
      </c>
      <c r="F6" s="238"/>
      <c r="G6" s="238"/>
      <c r="H6" s="349"/>
    </row>
    <row r="7" spans="2:8" ht="51.75" customHeight="1">
      <c r="B7" s="236" t="s">
        <v>39</v>
      </c>
      <c r="C7" s="237"/>
      <c r="D7" s="237"/>
      <c r="E7" s="260" t="s">
        <v>165</v>
      </c>
      <c r="F7" s="260"/>
      <c r="G7" s="260"/>
      <c r="H7" s="349"/>
    </row>
    <row r="8" spans="2:8" ht="12.75">
      <c r="B8" s="236" t="s">
        <v>1</v>
      </c>
      <c r="C8" s="237"/>
      <c r="D8" s="237"/>
      <c r="E8" s="238" t="s">
        <v>168</v>
      </c>
      <c r="F8" s="238"/>
      <c r="G8" s="238"/>
      <c r="H8" s="349"/>
    </row>
    <row r="9" spans="2:8" ht="12.75">
      <c r="B9" s="236" t="s">
        <v>47</v>
      </c>
      <c r="C9" s="237"/>
      <c r="D9" s="237"/>
      <c r="E9" s="238" t="s">
        <v>169</v>
      </c>
      <c r="F9" s="238"/>
      <c r="G9" s="238"/>
      <c r="H9" s="349"/>
    </row>
    <row r="10" spans="2:8" ht="12.75">
      <c r="B10" s="236" t="s">
        <v>3</v>
      </c>
      <c r="C10" s="237"/>
      <c r="D10" s="237"/>
      <c r="E10" s="126" t="s">
        <v>2</v>
      </c>
      <c r="F10" s="127">
        <v>245259.89</v>
      </c>
      <c r="G10" s="59" t="s">
        <v>124</v>
      </c>
      <c r="H10" s="349"/>
    </row>
    <row r="11" spans="2:8" ht="12.75">
      <c r="B11" s="236" t="s">
        <v>3</v>
      </c>
      <c r="C11" s="237"/>
      <c r="D11" s="237"/>
      <c r="E11" s="126" t="s">
        <v>2</v>
      </c>
      <c r="F11" s="127">
        <v>207847.37</v>
      </c>
      <c r="G11" s="126" t="s">
        <v>131</v>
      </c>
      <c r="H11" s="349"/>
    </row>
    <row r="12" spans="2:8" ht="12.75">
      <c r="B12" s="236" t="s">
        <v>4</v>
      </c>
      <c r="C12" s="237"/>
      <c r="D12" s="237"/>
      <c r="E12" s="238" t="s">
        <v>179</v>
      </c>
      <c r="F12" s="238"/>
      <c r="G12" s="238"/>
      <c r="H12" s="349"/>
    </row>
    <row r="13" spans="2:8" ht="12.75">
      <c r="B13" s="236" t="s">
        <v>149</v>
      </c>
      <c r="C13" s="237"/>
      <c r="D13" s="237"/>
      <c r="E13" s="238" t="s">
        <v>150</v>
      </c>
      <c r="F13" s="238"/>
      <c r="G13" s="238"/>
      <c r="H13" s="349"/>
    </row>
    <row r="14" spans="2:8" ht="15">
      <c r="B14" s="168"/>
      <c r="C14" s="128"/>
      <c r="D14" s="129"/>
      <c r="E14" s="130"/>
      <c r="F14" s="130"/>
      <c r="G14" s="130"/>
      <c r="H14" s="349"/>
    </row>
    <row r="15" spans="2:8" ht="13.5" thickBot="1">
      <c r="B15" s="170"/>
      <c r="C15" s="162"/>
      <c r="D15" s="163"/>
      <c r="E15" s="164"/>
      <c r="F15" s="164"/>
      <c r="G15" s="164"/>
      <c r="H15" s="349"/>
    </row>
    <row r="16" spans="2:8" ht="15.75" thickBot="1">
      <c r="B16" s="257" t="s">
        <v>204</v>
      </c>
      <c r="C16" s="258"/>
      <c r="D16" s="258"/>
      <c r="E16" s="258"/>
      <c r="F16" s="258"/>
      <c r="G16" s="258"/>
      <c r="H16" s="259"/>
    </row>
    <row r="17" spans="2:8" ht="21">
      <c r="B17" s="367"/>
      <c r="C17" s="211"/>
      <c r="D17" s="211"/>
      <c r="E17" s="211"/>
      <c r="F17" s="211"/>
      <c r="G17" s="211"/>
      <c r="H17" s="349"/>
    </row>
    <row r="18" spans="2:8" ht="12.75">
      <c r="B18" s="350" t="s">
        <v>212</v>
      </c>
      <c r="C18" s="351"/>
      <c r="D18" s="351"/>
      <c r="E18" s="164"/>
      <c r="F18" s="352">
        <f>+'1.- CalculoPago'!F34</f>
        <v>245259.89</v>
      </c>
      <c r="G18" s="353"/>
      <c r="H18" s="349"/>
    </row>
    <row r="19" spans="2:8" ht="12.75">
      <c r="B19" s="350" t="s">
        <v>213</v>
      </c>
      <c r="C19" s="351"/>
      <c r="D19" s="351"/>
      <c r="E19" s="164"/>
      <c r="F19" s="352">
        <f>+ROUND(F18*0.1,2)</f>
        <v>24525.99</v>
      </c>
      <c r="G19" s="353"/>
      <c r="H19" s="349"/>
    </row>
    <row r="20" spans="2:8" ht="12.75">
      <c r="B20" s="354"/>
      <c r="C20" s="353"/>
      <c r="D20" s="353"/>
      <c r="E20" s="355"/>
      <c r="F20" s="353"/>
      <c r="G20" s="353"/>
      <c r="H20" s="349"/>
    </row>
    <row r="21" spans="2:8" ht="21" customHeight="1">
      <c r="B21" s="356" t="s">
        <v>205</v>
      </c>
      <c r="C21" s="357"/>
      <c r="D21" s="357"/>
      <c r="E21" s="357"/>
      <c r="F21" s="357"/>
      <c r="G21" s="357"/>
      <c r="H21" s="349"/>
    </row>
    <row r="22" spans="2:8" ht="12.75">
      <c r="B22" s="358"/>
      <c r="C22" s="359"/>
      <c r="D22" s="359"/>
      <c r="E22" s="359"/>
      <c r="F22" s="359"/>
      <c r="G22" s="359"/>
      <c r="H22" s="349"/>
    </row>
    <row r="23" spans="2:8" ht="21" customHeight="1">
      <c r="B23" s="360" t="s">
        <v>206</v>
      </c>
      <c r="C23" s="361"/>
      <c r="D23" s="361"/>
      <c r="E23" s="353"/>
      <c r="F23" s="362"/>
      <c r="G23" s="362"/>
      <c r="H23" s="349"/>
    </row>
    <row r="24" spans="2:8" ht="12.75">
      <c r="B24" s="363" t="s">
        <v>207</v>
      </c>
      <c r="C24" s="364"/>
      <c r="D24" s="365">
        <f>+D31</f>
        <v>8175.330000000001</v>
      </c>
      <c r="E24" s="362"/>
      <c r="F24" s="366"/>
      <c r="G24" s="362"/>
      <c r="H24" s="349"/>
    </row>
    <row r="25" spans="2:8" ht="33" customHeight="1" thickBot="1">
      <c r="B25" s="363"/>
      <c r="C25" s="364"/>
      <c r="D25" s="365"/>
      <c r="E25" s="362"/>
      <c r="F25" s="366"/>
      <c r="G25" s="362"/>
      <c r="H25" s="349"/>
    </row>
    <row r="26" spans="2:8" ht="19.5" customHeight="1" thickBot="1">
      <c r="B26" s="343" t="str">
        <f>+B16</f>
        <v>CONTROL DE RETENCIÓN DEL 10% COMO GARANTIA DE FIEL CUMPLIMIENTO</v>
      </c>
      <c r="C26" s="344"/>
      <c r="D26" s="344"/>
      <c r="E26" s="344"/>
      <c r="F26" s="344"/>
      <c r="G26" s="344"/>
      <c r="H26" s="345"/>
    </row>
    <row r="27" spans="2:8" ht="19.5" customHeight="1">
      <c r="B27" s="261" t="s">
        <v>182</v>
      </c>
      <c r="C27" s="321" t="s">
        <v>183</v>
      </c>
      <c r="D27" s="322" t="s">
        <v>218</v>
      </c>
      <c r="E27" s="331"/>
      <c r="F27" s="334" t="s">
        <v>219</v>
      </c>
      <c r="G27" s="264"/>
      <c r="H27" s="265"/>
    </row>
    <row r="28" spans="2:8" ht="19.5" customHeight="1">
      <c r="B28" s="262"/>
      <c r="C28" s="325"/>
      <c r="D28" s="222" t="s">
        <v>208</v>
      </c>
      <c r="E28" s="223" t="s">
        <v>209</v>
      </c>
      <c r="F28" s="335" t="s">
        <v>208</v>
      </c>
      <c r="G28" s="222" t="s">
        <v>209</v>
      </c>
      <c r="H28" s="223" t="s">
        <v>210</v>
      </c>
    </row>
    <row r="29" spans="2:8" ht="19.5" customHeight="1">
      <c r="B29" s="263"/>
      <c r="C29" s="326"/>
      <c r="D29" s="222" t="s">
        <v>211</v>
      </c>
      <c r="E29" s="223" t="s">
        <v>211</v>
      </c>
      <c r="F29" s="335" t="s">
        <v>211</v>
      </c>
      <c r="G29" s="222" t="s">
        <v>211</v>
      </c>
      <c r="H29" s="223" t="s">
        <v>211</v>
      </c>
    </row>
    <row r="30" spans="2:8" ht="33.75" customHeight="1">
      <c r="B30" s="255" t="s">
        <v>214</v>
      </c>
      <c r="C30" s="256"/>
      <c r="D30" s="327"/>
      <c r="E30" s="332">
        <f>+F19</f>
        <v>24525.99</v>
      </c>
      <c r="F30" s="336"/>
      <c r="G30" s="323"/>
      <c r="H30" s="324">
        <f>+E30</f>
        <v>24525.99</v>
      </c>
    </row>
    <row r="31" spans="2:8" ht="19.5" customHeight="1">
      <c r="B31" s="212">
        <v>1</v>
      </c>
      <c r="C31" s="328">
        <v>44348</v>
      </c>
      <c r="D31" s="213">
        <f>+E30/3</f>
        <v>8175.330000000001</v>
      </c>
      <c r="E31" s="214">
        <f>+D31</f>
        <v>8175.330000000001</v>
      </c>
      <c r="F31" s="346">
        <f>+H30/3</f>
        <v>8175.330000000001</v>
      </c>
      <c r="G31" s="347">
        <f>+F31</f>
        <v>8175.330000000001</v>
      </c>
      <c r="H31" s="348">
        <f>+H30-G31</f>
        <v>16350.66</v>
      </c>
    </row>
    <row r="32" spans="2:8" ht="19.5" customHeight="1">
      <c r="B32" s="212">
        <v>2</v>
      </c>
      <c r="C32" s="328">
        <v>44378</v>
      </c>
      <c r="D32" s="215">
        <f>+D31</f>
        <v>8175.330000000001</v>
      </c>
      <c r="E32" s="333">
        <f>+E31+D32</f>
        <v>16350.660000000002</v>
      </c>
      <c r="F32" s="337"/>
      <c r="G32" s="215"/>
      <c r="H32" s="214"/>
    </row>
    <row r="33" spans="2:8" ht="19.5" customHeight="1">
      <c r="B33" s="212">
        <v>3</v>
      </c>
      <c r="C33" s="328">
        <v>44409</v>
      </c>
      <c r="D33" s="215">
        <f>+D32</f>
        <v>8175.330000000001</v>
      </c>
      <c r="E33" s="333">
        <f>+E32+D33</f>
        <v>24525.99</v>
      </c>
      <c r="F33" s="337"/>
      <c r="G33" s="215"/>
      <c r="H33" s="214"/>
    </row>
    <row r="34" spans="2:8" ht="19.5" customHeight="1" thickBot="1">
      <c r="B34" s="329" t="s">
        <v>215</v>
      </c>
      <c r="C34" s="330"/>
      <c r="D34" s="216">
        <f>+SUM(D31:D33)</f>
        <v>24525.99</v>
      </c>
      <c r="E34" s="217"/>
      <c r="F34" s="338">
        <f>+SUM(F31:F33)</f>
        <v>8175.330000000001</v>
      </c>
      <c r="G34" s="216"/>
      <c r="H34" s="339">
        <f>+SUM(H31:H33)</f>
        <v>16350.66</v>
      </c>
    </row>
  </sheetData>
  <sheetProtection/>
  <mergeCells count="28">
    <mergeCell ref="B2:H2"/>
    <mergeCell ref="B16:H16"/>
    <mergeCell ref="B26:H26"/>
    <mergeCell ref="C27:C29"/>
    <mergeCell ref="B30:C30"/>
    <mergeCell ref="D27:E27"/>
    <mergeCell ref="B34:C34"/>
    <mergeCell ref="F27:H27"/>
    <mergeCell ref="B27:B29"/>
    <mergeCell ref="B3:G3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B21:G21"/>
    <mergeCell ref="B23:D23"/>
    <mergeCell ref="B11:D11"/>
    <mergeCell ref="B12:D12"/>
    <mergeCell ref="E12:G12"/>
    <mergeCell ref="B13:D13"/>
    <mergeCell ref="E13:G13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L61"/>
  <sheetViews>
    <sheetView view="pageBreakPreview" zoomScaleSheetLayoutView="100" zoomScalePageLayoutView="0" workbookViewId="0" topLeftCell="A43">
      <selection activeCell="B45" sqref="B45:L45"/>
    </sheetView>
  </sheetViews>
  <sheetFormatPr defaultColWidth="11.421875" defaultRowHeight="12.75"/>
  <cols>
    <col min="1" max="1" width="4.140625" style="0" customWidth="1"/>
    <col min="5" max="5" width="13.8515625" style="0" customWidth="1"/>
    <col min="13" max="13" width="3.28125" style="0" customWidth="1"/>
  </cols>
  <sheetData>
    <row r="1" ht="13.5" thickBot="1"/>
    <row r="2" spans="2:12" ht="29.25" thickBot="1">
      <c r="B2" s="226" t="str">
        <f>+'RESUMEN VAL'!B2:L2</f>
        <v>VALORIZACIÓN DE SUPERVISIÓN N° 01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2:12" ht="18">
      <c r="B3" s="266" t="str">
        <f>+'RESUMEN VAL'!B3:L3</f>
        <v> ( DEL 01 AL 30 DE JUNIO DEL 2021)</v>
      </c>
      <c r="C3" s="267"/>
      <c r="D3" s="267"/>
      <c r="E3" s="267"/>
      <c r="F3" s="267"/>
      <c r="G3" s="267"/>
      <c r="H3" s="267"/>
      <c r="I3" s="267"/>
      <c r="J3" s="267"/>
      <c r="K3" s="267"/>
      <c r="L3" s="268"/>
    </row>
    <row r="4" spans="2:12" ht="18">
      <c r="B4" s="166"/>
      <c r="C4" s="124"/>
      <c r="D4" s="124"/>
      <c r="E4" s="124"/>
      <c r="F4" s="124"/>
      <c r="G4" s="124"/>
      <c r="H4" s="124"/>
      <c r="I4" s="124"/>
      <c r="J4" s="124"/>
      <c r="K4" s="124"/>
      <c r="L4" s="167"/>
    </row>
    <row r="5" spans="2:12" ht="12.75">
      <c r="B5" s="236" t="s">
        <v>46</v>
      </c>
      <c r="C5" s="237"/>
      <c r="D5" s="237"/>
      <c r="E5" s="238" t="s">
        <v>166</v>
      </c>
      <c r="F5" s="238"/>
      <c r="G5" s="238"/>
      <c r="H5" s="238"/>
      <c r="I5" s="238"/>
      <c r="J5" s="238"/>
      <c r="K5" s="238"/>
      <c r="L5" s="239"/>
    </row>
    <row r="6" spans="2:12" ht="12.75">
      <c r="B6" s="236" t="s">
        <v>0</v>
      </c>
      <c r="C6" s="237"/>
      <c r="D6" s="237"/>
      <c r="E6" s="238" t="s">
        <v>142</v>
      </c>
      <c r="F6" s="238"/>
      <c r="G6" s="238"/>
      <c r="H6" s="238"/>
      <c r="I6" s="238"/>
      <c r="J6" s="238"/>
      <c r="K6" s="238"/>
      <c r="L6" s="239"/>
    </row>
    <row r="7" spans="2:12" ht="27" customHeight="1">
      <c r="B7" s="236" t="s">
        <v>39</v>
      </c>
      <c r="C7" s="237"/>
      <c r="D7" s="237"/>
      <c r="E7" s="260" t="s">
        <v>165</v>
      </c>
      <c r="F7" s="260"/>
      <c r="G7" s="260"/>
      <c r="H7" s="260"/>
      <c r="I7" s="260"/>
      <c r="J7" s="260"/>
      <c r="K7" s="260"/>
      <c r="L7" s="272"/>
    </row>
    <row r="8" spans="2:12" ht="12.75">
      <c r="B8" s="236" t="s">
        <v>1</v>
      </c>
      <c r="C8" s="237"/>
      <c r="D8" s="237"/>
      <c r="E8" s="238" t="s">
        <v>168</v>
      </c>
      <c r="F8" s="238"/>
      <c r="G8" s="238"/>
      <c r="H8" s="238"/>
      <c r="I8" s="238"/>
      <c r="J8" s="238"/>
      <c r="K8" s="238"/>
      <c r="L8" s="239"/>
    </row>
    <row r="9" spans="2:12" ht="12.75">
      <c r="B9" s="236" t="s">
        <v>47</v>
      </c>
      <c r="C9" s="237"/>
      <c r="D9" s="237"/>
      <c r="E9" s="238" t="s">
        <v>169</v>
      </c>
      <c r="F9" s="238"/>
      <c r="G9" s="238"/>
      <c r="H9" s="238"/>
      <c r="I9" s="238"/>
      <c r="J9" s="238"/>
      <c r="K9" s="238"/>
      <c r="L9" s="239"/>
    </row>
    <row r="10" spans="2:12" ht="12.75">
      <c r="B10" s="236" t="s">
        <v>3</v>
      </c>
      <c r="C10" s="237"/>
      <c r="D10" s="237"/>
      <c r="E10" s="126" t="s">
        <v>2</v>
      </c>
      <c r="F10" s="127">
        <v>245259.89</v>
      </c>
      <c r="G10" s="59" t="s">
        <v>124</v>
      </c>
      <c r="H10" s="59"/>
      <c r="I10" s="59"/>
      <c r="J10" s="59"/>
      <c r="K10" s="59"/>
      <c r="L10" s="64"/>
    </row>
    <row r="11" spans="2:12" ht="12.75">
      <c r="B11" s="236" t="s">
        <v>3</v>
      </c>
      <c r="C11" s="237"/>
      <c r="D11" s="237"/>
      <c r="E11" s="126" t="s">
        <v>2</v>
      </c>
      <c r="F11" s="127">
        <v>207847.37</v>
      </c>
      <c r="G11" s="238" t="s">
        <v>131</v>
      </c>
      <c r="H11" s="238"/>
      <c r="I11" s="238"/>
      <c r="J11" s="238"/>
      <c r="K11" s="238"/>
      <c r="L11" s="239"/>
    </row>
    <row r="12" spans="2:12" ht="12.75">
      <c r="B12" s="236" t="s">
        <v>4</v>
      </c>
      <c r="C12" s="237"/>
      <c r="D12" s="237"/>
      <c r="E12" s="238" t="s">
        <v>179</v>
      </c>
      <c r="F12" s="238"/>
      <c r="G12" s="238"/>
      <c r="H12" s="238"/>
      <c r="I12" s="238"/>
      <c r="J12" s="238"/>
      <c r="K12" s="238"/>
      <c r="L12" s="239"/>
    </row>
    <row r="13" spans="2:12" ht="12.75">
      <c r="B13" s="236" t="s">
        <v>149</v>
      </c>
      <c r="C13" s="237"/>
      <c r="D13" s="237"/>
      <c r="E13" s="238" t="s">
        <v>150</v>
      </c>
      <c r="F13" s="238"/>
      <c r="G13" s="238"/>
      <c r="H13" s="238"/>
      <c r="I13" s="238"/>
      <c r="J13" s="238"/>
      <c r="K13" s="238"/>
      <c r="L13" s="239"/>
    </row>
    <row r="14" spans="2:12" ht="15">
      <c r="B14" s="168"/>
      <c r="C14" s="128"/>
      <c r="D14" s="129"/>
      <c r="E14" s="130"/>
      <c r="F14" s="130"/>
      <c r="G14" s="130"/>
      <c r="H14" s="130"/>
      <c r="I14" s="130"/>
      <c r="J14" s="131"/>
      <c r="K14" s="132"/>
      <c r="L14" s="169"/>
    </row>
    <row r="15" spans="2:12" ht="13.5" thickBot="1">
      <c r="B15" s="170"/>
      <c r="C15" s="162"/>
      <c r="D15" s="163"/>
      <c r="E15" s="164"/>
      <c r="F15" s="164"/>
      <c r="G15" s="164"/>
      <c r="H15" s="164"/>
      <c r="I15" s="161"/>
      <c r="J15" s="164"/>
      <c r="K15" s="165"/>
      <c r="L15" s="171"/>
    </row>
    <row r="16" spans="2:12" ht="19.5" thickBot="1">
      <c r="B16" s="269" t="s">
        <v>181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1"/>
    </row>
    <row r="17" spans="2:12" ht="12.75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</row>
    <row r="18" spans="2:12" ht="12.75"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</row>
    <row r="19" spans="2:12" ht="12.75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2:12" ht="12.75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2:12" ht="12.75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2:12" ht="12.7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2:12" ht="12.75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2:12" ht="12.7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ht="12.7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2.7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2.7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</row>
    <row r="28" spans="2:12" ht="12.7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2:12" ht="12.7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2:12" ht="12.7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2:12" ht="12.7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2:12" ht="12.7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2:12" ht="12.7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spans="2:12" ht="12.7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5" spans="2:12" ht="12.7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</row>
    <row r="36" spans="2:12" ht="12.7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2:12" ht="12.7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2:12" ht="12.7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2:12" ht="12.75"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2:12" ht="12.75"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</row>
    <row r="41" spans="2:12" ht="12.75"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</row>
    <row r="42" spans="2:12" ht="12.75"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2:12" ht="12.75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</row>
    <row r="44" spans="2:12" ht="13.5" thickBot="1"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</row>
    <row r="45" spans="2:12" ht="21.75" thickBot="1">
      <c r="B45" s="278" t="s">
        <v>198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80"/>
    </row>
    <row r="46" spans="2:12" ht="6.75" customHeight="1" thickBot="1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4"/>
    </row>
    <row r="47" spans="2:12" ht="12.75">
      <c r="B47" s="281" t="s">
        <v>182</v>
      </c>
      <c r="C47" s="284" t="s">
        <v>183</v>
      </c>
      <c r="D47" s="287" t="s">
        <v>184</v>
      </c>
      <c r="E47" s="288"/>
      <c r="F47" s="288"/>
      <c r="G47" s="289"/>
      <c r="H47" s="287" t="s">
        <v>185</v>
      </c>
      <c r="I47" s="288"/>
      <c r="J47" s="288"/>
      <c r="K47" s="289"/>
      <c r="L47" s="293" t="s">
        <v>186</v>
      </c>
    </row>
    <row r="48" spans="2:12" ht="12.75">
      <c r="B48" s="282">
        <v>131271.625</v>
      </c>
      <c r="C48" s="285">
        <v>131271.625</v>
      </c>
      <c r="D48" s="290"/>
      <c r="E48" s="291"/>
      <c r="F48" s="291"/>
      <c r="G48" s="292"/>
      <c r="H48" s="290"/>
      <c r="I48" s="291"/>
      <c r="J48" s="291"/>
      <c r="K48" s="292"/>
      <c r="L48" s="294">
        <v>131271.625</v>
      </c>
    </row>
    <row r="49" spans="2:12" ht="30.75" thickBot="1">
      <c r="B49" s="283">
        <v>131271.625</v>
      </c>
      <c r="C49" s="286">
        <v>131271.625</v>
      </c>
      <c r="D49" s="175" t="s">
        <v>136</v>
      </c>
      <c r="E49" s="176" t="s">
        <v>187</v>
      </c>
      <c r="F49" s="175" t="s">
        <v>188</v>
      </c>
      <c r="G49" s="176" t="s">
        <v>189</v>
      </c>
      <c r="H49" s="177" t="s">
        <v>136</v>
      </c>
      <c r="I49" s="178" t="s">
        <v>187</v>
      </c>
      <c r="J49" s="175" t="s">
        <v>188</v>
      </c>
      <c r="K49" s="176" t="s">
        <v>189</v>
      </c>
      <c r="L49" s="295">
        <v>131271.625</v>
      </c>
    </row>
    <row r="50" spans="2:12" ht="13.5" thickTop="1">
      <c r="B50" s="104"/>
      <c r="C50" s="105"/>
      <c r="D50" s="106"/>
      <c r="E50" s="106"/>
      <c r="F50" s="107"/>
      <c r="G50" s="107"/>
      <c r="H50" s="108"/>
      <c r="I50" s="108"/>
      <c r="J50" s="108"/>
      <c r="K50" s="108"/>
      <c r="L50" s="109"/>
    </row>
    <row r="51" spans="2:12" ht="12.75">
      <c r="B51" s="110">
        <v>1</v>
      </c>
      <c r="C51" s="111" t="s">
        <v>191</v>
      </c>
      <c r="D51" s="112">
        <f>+'1.- CalculoPago'!H34</f>
        <v>34179.99</v>
      </c>
      <c r="E51" s="112">
        <f>+D51+E50</f>
        <v>34179.99</v>
      </c>
      <c r="F51" s="113">
        <f aca="true" t="shared" si="0" ref="F51:F56">ROUND(D51/$D$59,4)</f>
        <v>0.1429</v>
      </c>
      <c r="G51" s="113">
        <f>IF(F51=" "," ",G50+F51)</f>
        <v>0.1429</v>
      </c>
      <c r="H51" s="114">
        <f>+'RESUMEN VAL'!J39</f>
        <v>34179.99</v>
      </c>
      <c r="I51" s="114">
        <f>+H51+I50</f>
        <v>34179.99</v>
      </c>
      <c r="J51" s="115">
        <f>ROUND(H51/$D$59,4)</f>
        <v>0.1429</v>
      </c>
      <c r="K51" s="115">
        <f>IF(J51=" "," ",K50+J51)</f>
        <v>0.1429</v>
      </c>
      <c r="L51" s="179" t="str">
        <f>IF(J51&gt;G51,"ADELANTADA","CONFORME")</f>
        <v>CONFORME</v>
      </c>
    </row>
    <row r="52" spans="2:12" ht="12.75">
      <c r="B52" s="110">
        <v>2</v>
      </c>
      <c r="C52" s="111" t="s">
        <v>192</v>
      </c>
      <c r="D52" s="112">
        <f>+'1.- CalculoPago'!J34</f>
        <v>35319.32</v>
      </c>
      <c r="E52" s="112">
        <f aca="true" t="shared" si="1" ref="E52:E57">+D52+E51</f>
        <v>69499.31</v>
      </c>
      <c r="F52" s="113">
        <f t="shared" si="0"/>
        <v>0.1476</v>
      </c>
      <c r="G52" s="113">
        <f aca="true" t="shared" si="2" ref="G52:G57">IF(F52=" "," ",G51+F52)</f>
        <v>0.2905</v>
      </c>
      <c r="H52" s="114"/>
      <c r="I52" s="114"/>
      <c r="J52" s="115"/>
      <c r="K52" s="115"/>
      <c r="L52" s="116"/>
    </row>
    <row r="53" spans="2:12" ht="12.75">
      <c r="B53" s="110">
        <v>3</v>
      </c>
      <c r="C53" s="111" t="s">
        <v>193</v>
      </c>
      <c r="D53" s="112">
        <f>+'1.- CalculoPago'!J34</f>
        <v>35319.32</v>
      </c>
      <c r="E53" s="112">
        <f t="shared" si="1"/>
        <v>104818.63</v>
      </c>
      <c r="F53" s="113">
        <f t="shared" si="0"/>
        <v>0.1476</v>
      </c>
      <c r="G53" s="113">
        <f t="shared" si="2"/>
        <v>0.4381</v>
      </c>
      <c r="H53" s="114"/>
      <c r="I53" s="114"/>
      <c r="J53" s="115"/>
      <c r="K53" s="115"/>
      <c r="L53" s="116"/>
    </row>
    <row r="54" spans="2:12" ht="12.75">
      <c r="B54" s="110">
        <v>4</v>
      </c>
      <c r="C54" s="111" t="s">
        <v>194</v>
      </c>
      <c r="D54" s="117">
        <f>+'1.- CalculoPago'!N34</f>
        <v>34179.99</v>
      </c>
      <c r="E54" s="112">
        <f t="shared" si="1"/>
        <v>138998.62</v>
      </c>
      <c r="F54" s="113">
        <f t="shared" si="0"/>
        <v>0.1429</v>
      </c>
      <c r="G54" s="113">
        <f t="shared" si="2"/>
        <v>0.581</v>
      </c>
      <c r="H54" s="114"/>
      <c r="I54" s="114"/>
      <c r="J54" s="115"/>
      <c r="K54" s="115"/>
      <c r="L54" s="116"/>
    </row>
    <row r="55" spans="2:12" ht="12.75">
      <c r="B55" s="110">
        <v>5</v>
      </c>
      <c r="C55" s="111" t="s">
        <v>195</v>
      </c>
      <c r="D55" s="117">
        <f>+'1.- CalculoPago'!P34</f>
        <v>35319.32</v>
      </c>
      <c r="E55" s="112">
        <f t="shared" si="1"/>
        <v>174317.94</v>
      </c>
      <c r="F55" s="113">
        <f t="shared" si="0"/>
        <v>0.1476</v>
      </c>
      <c r="G55" s="113">
        <f t="shared" si="2"/>
        <v>0.7285999999999999</v>
      </c>
      <c r="H55" s="114"/>
      <c r="I55" s="114"/>
      <c r="J55" s="115"/>
      <c r="K55" s="115"/>
      <c r="L55" s="116"/>
    </row>
    <row r="56" spans="2:12" ht="12.75">
      <c r="B56" s="110">
        <v>6</v>
      </c>
      <c r="C56" s="111" t="s">
        <v>196</v>
      </c>
      <c r="D56" s="117">
        <f>+'1.- CalculoPago'!R34</f>
        <v>34179.97</v>
      </c>
      <c r="E56" s="112">
        <f t="shared" si="1"/>
        <v>208497.91</v>
      </c>
      <c r="F56" s="113">
        <f t="shared" si="0"/>
        <v>0.1429</v>
      </c>
      <c r="G56" s="113">
        <f t="shared" si="2"/>
        <v>0.8714999999999999</v>
      </c>
      <c r="H56" s="114"/>
      <c r="I56" s="114"/>
      <c r="J56" s="115"/>
      <c r="K56" s="115"/>
      <c r="L56" s="116"/>
    </row>
    <row r="57" spans="2:12" ht="12.75">
      <c r="B57" s="110">
        <v>7</v>
      </c>
      <c r="C57" s="111" t="s">
        <v>197</v>
      </c>
      <c r="D57" s="117">
        <f>+'1.- CalculoPago'!T34</f>
        <v>30761.980000000003</v>
      </c>
      <c r="E57" s="112">
        <f t="shared" si="1"/>
        <v>239259.89</v>
      </c>
      <c r="F57" s="113">
        <f>ROUNDDOWN(D57/$D$59,4)</f>
        <v>0.1285</v>
      </c>
      <c r="G57" s="113">
        <f t="shared" si="2"/>
        <v>1</v>
      </c>
      <c r="H57" s="114"/>
      <c r="I57" s="114"/>
      <c r="J57" s="115"/>
      <c r="K57" s="115"/>
      <c r="L57" s="116"/>
    </row>
    <row r="58" spans="2:12" ht="13.5" thickBot="1">
      <c r="B58" s="110"/>
      <c r="C58" s="111"/>
      <c r="D58" s="117"/>
      <c r="E58" s="112"/>
      <c r="F58" s="113"/>
      <c r="G58" s="113"/>
      <c r="H58" s="114"/>
      <c r="I58" s="114"/>
      <c r="J58" s="115"/>
      <c r="K58" s="115"/>
      <c r="L58" s="116"/>
    </row>
    <row r="59" spans="2:12" ht="14.25" thickBot="1" thickTop="1">
      <c r="B59" s="273" t="s">
        <v>190</v>
      </c>
      <c r="C59" s="274">
        <v>6</v>
      </c>
      <c r="D59" s="118">
        <f>SUM(D51:D57)</f>
        <v>239259.89</v>
      </c>
      <c r="E59" s="119"/>
      <c r="F59" s="120">
        <f>SUM(F51:F58)</f>
        <v>1</v>
      </c>
      <c r="G59" s="121"/>
      <c r="H59" s="118">
        <f>SUM(H51:H58)</f>
        <v>34179.99</v>
      </c>
      <c r="I59" s="119"/>
      <c r="J59" s="121">
        <f>ROUNDDOWN(SUM(J51:J58),4)</f>
        <v>0.1429</v>
      </c>
      <c r="K59" s="121"/>
      <c r="L59" s="122"/>
    </row>
    <row r="61" ht="12.75">
      <c r="D61" s="123"/>
    </row>
  </sheetData>
  <sheetProtection/>
  <mergeCells count="28">
    <mergeCell ref="B59:C59"/>
    <mergeCell ref="B17:L44"/>
    <mergeCell ref="B45:L45"/>
    <mergeCell ref="B47:B49"/>
    <mergeCell ref="C47:C49"/>
    <mergeCell ref="D47:G48"/>
    <mergeCell ref="H47:K48"/>
    <mergeCell ref="L47:L49"/>
    <mergeCell ref="B2:L2"/>
    <mergeCell ref="B3:L3"/>
    <mergeCell ref="B16:L16"/>
    <mergeCell ref="B5:D5"/>
    <mergeCell ref="E5:L5"/>
    <mergeCell ref="B6:D6"/>
    <mergeCell ref="E6:L6"/>
    <mergeCell ref="B7:D7"/>
    <mergeCell ref="E7:L7"/>
    <mergeCell ref="B8:D8"/>
    <mergeCell ref="B12:D12"/>
    <mergeCell ref="E12:L12"/>
    <mergeCell ref="B13:D13"/>
    <mergeCell ref="E13:L13"/>
    <mergeCell ref="E8:L8"/>
    <mergeCell ref="B9:D9"/>
    <mergeCell ref="E9:L9"/>
    <mergeCell ref="B10:D10"/>
    <mergeCell ref="B11:D11"/>
    <mergeCell ref="G11:L11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W42"/>
  <sheetViews>
    <sheetView view="pageBreakPreview" zoomScaleSheetLayoutView="100" workbookViewId="0" topLeftCell="B25">
      <selection activeCell="I45" sqref="I45"/>
    </sheetView>
  </sheetViews>
  <sheetFormatPr defaultColWidth="11.421875" defaultRowHeight="12.75"/>
  <cols>
    <col min="1" max="1" width="3.140625" style="0" customWidth="1"/>
    <col min="2" max="2" width="14.7109375" style="0" customWidth="1"/>
    <col min="3" max="3" width="8.7109375" style="0" customWidth="1"/>
    <col min="4" max="4" width="10.28125" style="0" customWidth="1"/>
    <col min="5" max="5" width="13.28125" style="0" customWidth="1"/>
    <col min="6" max="6" width="14.00390625" style="0" customWidth="1"/>
    <col min="7" max="7" width="7.28125" style="0" customWidth="1"/>
    <col min="8" max="8" width="11.00390625" style="0" customWidth="1"/>
    <col min="9" max="9" width="7.28125" style="0" customWidth="1"/>
    <col min="10" max="10" width="10.140625" style="0" customWidth="1"/>
    <col min="11" max="11" width="7.28125" style="0" customWidth="1"/>
    <col min="12" max="12" width="10.57421875" style="0" customWidth="1"/>
    <col min="13" max="13" width="7.28125" style="0" customWidth="1"/>
    <col min="14" max="14" width="10.28125" style="0" customWidth="1"/>
    <col min="15" max="15" width="7.28125" style="0" customWidth="1"/>
    <col min="16" max="16" width="10.7109375" style="0" customWidth="1"/>
    <col min="17" max="17" width="7.28125" style="0" customWidth="1"/>
    <col min="18" max="18" width="10.140625" style="0" customWidth="1"/>
    <col min="19" max="19" width="9.00390625" style="0" customWidth="1"/>
    <col min="20" max="20" width="11.28125" style="0" customWidth="1"/>
    <col min="21" max="21" width="8.7109375" style="0" customWidth="1"/>
    <col min="22" max="22" width="11.00390625" style="0" customWidth="1"/>
    <col min="23" max="23" width="3.140625" style="0" customWidth="1"/>
  </cols>
  <sheetData>
    <row r="1" ht="13.5" thickBot="1"/>
    <row r="2" spans="2:22" ht="28.5">
      <c r="B2" s="298" t="s">
        <v>176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</row>
    <row r="3" spans="2:22" ht="12.75">
      <c r="B3" s="180"/>
      <c r="C3" s="181"/>
      <c r="D3" s="181"/>
      <c r="E3" s="181"/>
      <c r="F3" s="181"/>
      <c r="G3" s="181"/>
      <c r="H3" s="303" t="s">
        <v>177</v>
      </c>
      <c r="I3" s="303"/>
      <c r="J3" s="303"/>
      <c r="K3" s="303"/>
      <c r="L3" s="303"/>
      <c r="M3" s="303"/>
      <c r="N3" s="303"/>
      <c r="O3" s="303"/>
      <c r="P3" s="303"/>
      <c r="Q3" s="181"/>
      <c r="R3" s="181"/>
      <c r="S3" s="181"/>
      <c r="T3" s="181"/>
      <c r="U3" s="181"/>
      <c r="V3" s="182"/>
    </row>
    <row r="4" spans="2:22" ht="12.75"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5"/>
    </row>
    <row r="5" spans="2:22" ht="27" customHeight="1">
      <c r="B5" s="186" t="s">
        <v>125</v>
      </c>
      <c r="C5" s="187"/>
      <c r="D5" s="164"/>
      <c r="E5" s="164"/>
      <c r="F5" s="310" t="s">
        <v>165</v>
      </c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</row>
    <row r="6" spans="2:22" ht="15" customHeight="1">
      <c r="B6" s="188" t="s">
        <v>46</v>
      </c>
      <c r="C6" s="187"/>
      <c r="D6" s="187"/>
      <c r="E6" s="164"/>
      <c r="F6" s="77" t="s">
        <v>166</v>
      </c>
      <c r="G6" s="76"/>
      <c r="H6" s="189"/>
      <c r="I6" s="190"/>
      <c r="J6" s="76"/>
      <c r="K6" s="7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91"/>
    </row>
    <row r="7" spans="2:22" ht="15" customHeight="1">
      <c r="B7" s="188" t="s">
        <v>126</v>
      </c>
      <c r="C7" s="187"/>
      <c r="D7" s="187"/>
      <c r="E7" s="164"/>
      <c r="F7" s="77" t="s">
        <v>141</v>
      </c>
      <c r="G7" s="76"/>
      <c r="H7" s="189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91"/>
    </row>
    <row r="8" spans="2:22" ht="15" customHeight="1">
      <c r="B8" s="188" t="s">
        <v>127</v>
      </c>
      <c r="C8" s="187"/>
      <c r="D8" s="187"/>
      <c r="E8" s="187"/>
      <c r="F8" s="77" t="s">
        <v>167</v>
      </c>
      <c r="G8" s="76"/>
      <c r="H8" s="189"/>
      <c r="I8" s="190"/>
      <c r="J8" s="76"/>
      <c r="K8" s="76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91"/>
    </row>
    <row r="9" spans="2:22" ht="15" customHeight="1">
      <c r="B9" s="188" t="s">
        <v>128</v>
      </c>
      <c r="C9" s="187"/>
      <c r="D9" s="187"/>
      <c r="E9" s="187"/>
      <c r="F9" s="77" t="s">
        <v>168</v>
      </c>
      <c r="G9" s="76"/>
      <c r="H9" s="189"/>
      <c r="I9" s="190"/>
      <c r="J9" s="76"/>
      <c r="K9" s="7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91"/>
    </row>
    <row r="10" spans="2:22" ht="15" customHeight="1">
      <c r="B10" s="192" t="s">
        <v>0</v>
      </c>
      <c r="C10" s="187"/>
      <c r="D10" s="187"/>
      <c r="E10" s="187"/>
      <c r="F10" s="193" t="s">
        <v>142</v>
      </c>
      <c r="G10" s="194"/>
      <c r="H10" s="195"/>
      <c r="I10" s="193"/>
      <c r="J10" s="194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91"/>
    </row>
    <row r="11" spans="2:22" ht="15" customHeight="1">
      <c r="B11" s="192" t="s">
        <v>129</v>
      </c>
      <c r="C11" s="187"/>
      <c r="D11" s="187"/>
      <c r="E11" s="187"/>
      <c r="F11" s="193" t="s">
        <v>169</v>
      </c>
      <c r="G11" s="194"/>
      <c r="H11" s="195"/>
      <c r="I11" s="196"/>
      <c r="J11" s="194"/>
      <c r="K11" s="194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91"/>
    </row>
    <row r="12" spans="2:22" ht="15" customHeight="1">
      <c r="B12" s="192" t="s">
        <v>170</v>
      </c>
      <c r="C12" s="187"/>
      <c r="D12" s="187"/>
      <c r="E12" s="187"/>
      <c r="F12" s="193" t="s">
        <v>143</v>
      </c>
      <c r="G12" s="194"/>
      <c r="H12" s="195"/>
      <c r="I12" s="196"/>
      <c r="J12" s="194"/>
      <c r="K12" s="194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91"/>
    </row>
    <row r="13" spans="2:22" ht="15" customHeight="1">
      <c r="B13" s="192" t="s">
        <v>137</v>
      </c>
      <c r="C13" s="187"/>
      <c r="D13" s="187"/>
      <c r="E13" s="187"/>
      <c r="F13" s="296">
        <v>245259.89</v>
      </c>
      <c r="G13" s="296"/>
      <c r="H13" s="187" t="s">
        <v>43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91"/>
    </row>
    <row r="14" spans="2:22" ht="15" customHeight="1">
      <c r="B14" s="192" t="s">
        <v>137</v>
      </c>
      <c r="C14" s="187"/>
      <c r="D14" s="187"/>
      <c r="E14" s="187"/>
      <c r="F14" s="296">
        <f>+ROUNDUP(F13/1.18,2)</f>
        <v>207847.37</v>
      </c>
      <c r="G14" s="296"/>
      <c r="H14" s="187" t="s">
        <v>42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91"/>
    </row>
    <row r="15" spans="2:22" ht="15" customHeight="1">
      <c r="B15" s="197" t="s">
        <v>144</v>
      </c>
      <c r="C15" s="198"/>
      <c r="D15" s="198"/>
      <c r="E15" s="198"/>
      <c r="F15" s="301">
        <v>239259.89</v>
      </c>
      <c r="G15" s="301"/>
      <c r="H15" s="198" t="s">
        <v>43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91"/>
    </row>
    <row r="16" spans="2:22" ht="15" customHeight="1">
      <c r="B16" s="197" t="s">
        <v>144</v>
      </c>
      <c r="C16" s="198"/>
      <c r="D16" s="198"/>
      <c r="E16" s="198"/>
      <c r="F16" s="301">
        <f>+ROUND(F15/1.18,2)</f>
        <v>202762.62</v>
      </c>
      <c r="G16" s="301"/>
      <c r="H16" s="198" t="s">
        <v>42</v>
      </c>
      <c r="I16" s="199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91"/>
    </row>
    <row r="17" spans="2:22" ht="15" customHeight="1">
      <c r="B17" s="192" t="s">
        <v>145</v>
      </c>
      <c r="C17" s="187"/>
      <c r="D17" s="187"/>
      <c r="E17" s="187"/>
      <c r="F17" s="296">
        <v>6000</v>
      </c>
      <c r="G17" s="296"/>
      <c r="H17" s="187" t="s">
        <v>43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91"/>
    </row>
    <row r="18" spans="2:22" ht="15" customHeight="1">
      <c r="B18" s="192" t="s">
        <v>145</v>
      </c>
      <c r="C18" s="187"/>
      <c r="D18" s="187"/>
      <c r="E18" s="187"/>
      <c r="F18" s="296">
        <f>+ROUND(F17/1.18,2)</f>
        <v>5084.75</v>
      </c>
      <c r="G18" s="296"/>
      <c r="H18" s="187" t="s">
        <v>42</v>
      </c>
      <c r="I18" s="199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91"/>
    </row>
    <row r="19" spans="2:23" ht="15" customHeight="1">
      <c r="B19" s="192" t="s">
        <v>139</v>
      </c>
      <c r="C19" s="187"/>
      <c r="D19" s="187"/>
      <c r="E19" s="187"/>
      <c r="F19" s="200" t="s">
        <v>171</v>
      </c>
      <c r="G19" s="187"/>
      <c r="H19" s="201"/>
      <c r="I19" s="187"/>
      <c r="J19" s="187"/>
      <c r="K19" s="187"/>
      <c r="L19" s="187"/>
      <c r="M19" s="187"/>
      <c r="N19" s="187"/>
      <c r="O19" s="202"/>
      <c r="P19" s="187"/>
      <c r="Q19" s="187"/>
      <c r="R19" s="187"/>
      <c r="S19" s="187"/>
      <c r="T19" s="187"/>
      <c r="U19" s="187"/>
      <c r="V19" s="191"/>
      <c r="W19" s="3"/>
    </row>
    <row r="20" spans="2:23" ht="15" customHeight="1">
      <c r="B20" s="192" t="s">
        <v>140</v>
      </c>
      <c r="C20" s="187"/>
      <c r="D20" s="187"/>
      <c r="E20" s="187"/>
      <c r="F20" s="200" t="s">
        <v>172</v>
      </c>
      <c r="G20" s="187"/>
      <c r="H20" s="198"/>
      <c r="I20" s="199"/>
      <c r="J20" s="187"/>
      <c r="K20" s="187"/>
      <c r="L20" s="187"/>
      <c r="M20" s="187"/>
      <c r="N20" s="187"/>
      <c r="O20" s="202"/>
      <c r="P20" s="187"/>
      <c r="Q20" s="187"/>
      <c r="R20" s="187"/>
      <c r="S20" s="187"/>
      <c r="T20" s="187"/>
      <c r="U20" s="187"/>
      <c r="V20" s="191"/>
      <c r="W20" s="3"/>
    </row>
    <row r="21" spans="2:23" ht="15" customHeight="1">
      <c r="B21" s="192" t="s">
        <v>173</v>
      </c>
      <c r="C21" s="187"/>
      <c r="D21" s="187"/>
      <c r="E21" s="187"/>
      <c r="F21" s="200" t="s">
        <v>174</v>
      </c>
      <c r="G21" s="187"/>
      <c r="H21" s="198"/>
      <c r="I21" s="187"/>
      <c r="J21" s="187"/>
      <c r="K21" s="187"/>
      <c r="L21" s="187"/>
      <c r="M21" s="203"/>
      <c r="N21" s="187"/>
      <c r="O21" s="187"/>
      <c r="P21" s="187"/>
      <c r="Q21" s="187"/>
      <c r="R21" s="187"/>
      <c r="S21" s="187"/>
      <c r="T21" s="187"/>
      <c r="U21" s="187"/>
      <c r="V21" s="191"/>
      <c r="W21" s="3"/>
    </row>
    <row r="22" spans="2:23" ht="15" customHeight="1">
      <c r="B22" s="188" t="s">
        <v>138</v>
      </c>
      <c r="C22" s="73"/>
      <c r="D22" s="73"/>
      <c r="E22" s="73"/>
      <c r="F22" s="72">
        <f>+SUM(G28:T28)</f>
        <v>210</v>
      </c>
      <c r="G22" s="73" t="s">
        <v>175</v>
      </c>
      <c r="H22" s="74"/>
      <c r="I22" s="73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91"/>
      <c r="W22" s="3"/>
    </row>
    <row r="23" spans="2:23" ht="15" customHeight="1">
      <c r="B23" s="204" t="s">
        <v>161</v>
      </c>
      <c r="C23" s="74"/>
      <c r="D23" s="74"/>
      <c r="E23" s="74"/>
      <c r="F23" s="78" t="s">
        <v>178</v>
      </c>
      <c r="G23" s="73" t="s">
        <v>162</v>
      </c>
      <c r="H23" s="75"/>
      <c r="I23" s="73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91"/>
      <c r="W23" s="3"/>
    </row>
    <row r="24" spans="2:22" ht="12.75"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</row>
    <row r="25" spans="2:22" ht="19.5" thickBot="1">
      <c r="B25" s="307" t="s">
        <v>199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9"/>
    </row>
    <row r="27" spans="2:22" ht="30.75" customHeight="1">
      <c r="B27" s="297" t="s">
        <v>151</v>
      </c>
      <c r="C27" s="297" t="s">
        <v>148</v>
      </c>
      <c r="D27" s="297"/>
      <c r="E27" s="297"/>
      <c r="F27" s="297"/>
      <c r="G27" s="305" t="s">
        <v>154</v>
      </c>
      <c r="H27" s="305"/>
      <c r="I27" s="302" t="s">
        <v>155</v>
      </c>
      <c r="J27" s="302"/>
      <c r="K27" s="302" t="s">
        <v>156</v>
      </c>
      <c r="L27" s="302"/>
      <c r="M27" s="302" t="s">
        <v>157</v>
      </c>
      <c r="N27" s="302"/>
      <c r="O27" s="302" t="s">
        <v>158</v>
      </c>
      <c r="P27" s="302"/>
      <c r="Q27" s="302" t="s">
        <v>159</v>
      </c>
      <c r="R27" s="302"/>
      <c r="S27" s="302" t="s">
        <v>160</v>
      </c>
      <c r="T27" s="302"/>
      <c r="U27" s="302" t="s">
        <v>163</v>
      </c>
      <c r="V27" s="302"/>
    </row>
    <row r="28" spans="2:22" ht="12" customHeight="1">
      <c r="B28" s="297"/>
      <c r="C28" s="297"/>
      <c r="D28" s="297"/>
      <c r="E28" s="297"/>
      <c r="F28" s="297"/>
      <c r="G28" s="305">
        <v>30</v>
      </c>
      <c r="H28" s="305"/>
      <c r="I28" s="302">
        <v>31</v>
      </c>
      <c r="J28" s="302"/>
      <c r="K28" s="302">
        <v>31</v>
      </c>
      <c r="L28" s="302"/>
      <c r="M28" s="302">
        <v>30</v>
      </c>
      <c r="N28" s="302"/>
      <c r="O28" s="302">
        <v>31</v>
      </c>
      <c r="P28" s="302"/>
      <c r="Q28" s="302">
        <v>30</v>
      </c>
      <c r="R28" s="302"/>
      <c r="S28" s="302">
        <v>27</v>
      </c>
      <c r="T28" s="302"/>
      <c r="U28" s="302">
        <v>30</v>
      </c>
      <c r="V28" s="302"/>
    </row>
    <row r="29" spans="2:22" ht="25.5">
      <c r="B29" s="297"/>
      <c r="C29" s="70" t="s">
        <v>132</v>
      </c>
      <c r="D29" s="90" t="s">
        <v>133</v>
      </c>
      <c r="E29" s="90" t="s">
        <v>134</v>
      </c>
      <c r="F29" s="90" t="s">
        <v>135</v>
      </c>
      <c r="G29" s="93" t="s">
        <v>20</v>
      </c>
      <c r="H29" s="93" t="s">
        <v>136</v>
      </c>
      <c r="I29" s="70" t="s">
        <v>20</v>
      </c>
      <c r="J29" s="70" t="s">
        <v>136</v>
      </c>
      <c r="K29" s="70" t="s">
        <v>20</v>
      </c>
      <c r="L29" s="70" t="s">
        <v>136</v>
      </c>
      <c r="M29" s="70" t="s">
        <v>20</v>
      </c>
      <c r="N29" s="70" t="s">
        <v>136</v>
      </c>
      <c r="O29" s="70" t="s">
        <v>20</v>
      </c>
      <c r="P29" s="70" t="s">
        <v>136</v>
      </c>
      <c r="Q29" s="70" t="s">
        <v>20</v>
      </c>
      <c r="R29" s="70" t="s">
        <v>136</v>
      </c>
      <c r="S29" s="70" t="s">
        <v>20</v>
      </c>
      <c r="T29" s="70" t="s">
        <v>136</v>
      </c>
      <c r="U29" s="70" t="s">
        <v>20</v>
      </c>
      <c r="V29" s="70" t="s">
        <v>136</v>
      </c>
    </row>
    <row r="30" spans="2:23" ht="18" customHeight="1">
      <c r="B30" s="84" t="s">
        <v>47</v>
      </c>
      <c r="C30" s="85" t="s">
        <v>147</v>
      </c>
      <c r="D30" s="86">
        <v>1</v>
      </c>
      <c r="E30" s="87">
        <f>F16</f>
        <v>202762.62</v>
      </c>
      <c r="F30" s="87">
        <f>+E30*D30</f>
        <v>202762.62</v>
      </c>
      <c r="G30" s="94">
        <f>ROUND(H30/F30,4)</f>
        <v>0.1429</v>
      </c>
      <c r="H30" s="95">
        <f>ROUND(F30/210*G28,2)</f>
        <v>28966.09</v>
      </c>
      <c r="I30" s="65">
        <f>ROUND(J30/F30,4)</f>
        <v>0.1476</v>
      </c>
      <c r="J30" s="57">
        <f>ROUNDUP(F30/210*I28,2)</f>
        <v>29931.629999999997</v>
      </c>
      <c r="K30" s="65">
        <f>ROUND(L30/F30,4)</f>
        <v>0.1476</v>
      </c>
      <c r="L30" s="57">
        <f>ROUNDUP(F30/210*K28,2)</f>
        <v>29931.629999999997</v>
      </c>
      <c r="M30" s="65">
        <f>ROUND(N30/F30,4)</f>
        <v>0.1429</v>
      </c>
      <c r="N30" s="57">
        <f>ROUND(F30/210*M28,2)</f>
        <v>28966.09</v>
      </c>
      <c r="O30" s="65">
        <f>ROUND(P30/F30,4)</f>
        <v>0.1476</v>
      </c>
      <c r="P30" s="57">
        <f>ROUNDUP(F30/210*O28,2)</f>
        <v>29931.629999999997</v>
      </c>
      <c r="Q30" s="65">
        <f>ROUND(R30/F30,4)</f>
        <v>0.1429</v>
      </c>
      <c r="R30" s="57">
        <f>ROUNDDOWN(F30/210*Q28,2)</f>
        <v>28966.08</v>
      </c>
      <c r="S30" s="65">
        <f>ROUNDDOWN(T30/F30,4)</f>
        <v>0.1285</v>
      </c>
      <c r="T30" s="57">
        <f>ROUNDDOWN(F30/210*S28,2)</f>
        <v>26069.47</v>
      </c>
      <c r="U30" s="68">
        <v>0</v>
      </c>
      <c r="V30" s="69">
        <v>0</v>
      </c>
      <c r="W30" s="3"/>
    </row>
    <row r="31" spans="2:23" ht="18" customHeight="1">
      <c r="B31" s="84" t="s">
        <v>152</v>
      </c>
      <c r="C31" s="85" t="s">
        <v>153</v>
      </c>
      <c r="D31" s="86">
        <v>1</v>
      </c>
      <c r="E31" s="87">
        <f>+F18</f>
        <v>5084.75</v>
      </c>
      <c r="F31" s="87">
        <f>+E31</f>
        <v>5084.75</v>
      </c>
      <c r="G31" s="94">
        <v>0</v>
      </c>
      <c r="H31" s="95">
        <f>+G31*F31</f>
        <v>0</v>
      </c>
      <c r="I31" s="68">
        <v>0</v>
      </c>
      <c r="J31" s="69">
        <f>+I31*F31</f>
        <v>0</v>
      </c>
      <c r="K31" s="68">
        <v>0</v>
      </c>
      <c r="L31" s="69">
        <f>+K31*F31</f>
        <v>0</v>
      </c>
      <c r="M31" s="68">
        <v>0</v>
      </c>
      <c r="N31" s="69">
        <f>+M31*F31</f>
        <v>0</v>
      </c>
      <c r="O31" s="68">
        <v>0</v>
      </c>
      <c r="P31" s="69">
        <f>+O31*F31</f>
        <v>0</v>
      </c>
      <c r="Q31" s="68">
        <v>0</v>
      </c>
      <c r="R31" s="69">
        <f>+Q31*H31</f>
        <v>0</v>
      </c>
      <c r="S31" s="68">
        <v>0</v>
      </c>
      <c r="T31" s="69">
        <f>+S31*J31</f>
        <v>0</v>
      </c>
      <c r="U31" s="65">
        <f>+D31</f>
        <v>1</v>
      </c>
      <c r="V31" s="58">
        <f>+F31</f>
        <v>5084.75</v>
      </c>
      <c r="W31" s="3"/>
    </row>
    <row r="32" spans="2:23" ht="18" customHeight="1">
      <c r="B32" s="88" t="s">
        <v>41</v>
      </c>
      <c r="C32" s="85"/>
      <c r="D32" s="87"/>
      <c r="E32" s="87"/>
      <c r="F32" s="87">
        <f>F30+F31</f>
        <v>207847.37</v>
      </c>
      <c r="G32" s="96"/>
      <c r="H32" s="97">
        <f>+H30</f>
        <v>28966.09</v>
      </c>
      <c r="I32" s="80"/>
      <c r="J32" s="79">
        <f>+J30</f>
        <v>29931.629999999997</v>
      </c>
      <c r="K32" s="80"/>
      <c r="L32" s="79">
        <f>+L30</f>
        <v>29931.629999999997</v>
      </c>
      <c r="M32" s="80"/>
      <c r="N32" s="79">
        <f>+N30</f>
        <v>28966.09</v>
      </c>
      <c r="O32" s="80"/>
      <c r="P32" s="79">
        <f>+P30</f>
        <v>29931.629999999997</v>
      </c>
      <c r="Q32" s="80"/>
      <c r="R32" s="79">
        <f>+R30</f>
        <v>28966.08</v>
      </c>
      <c r="S32" s="80"/>
      <c r="T32" s="79">
        <f>+T30</f>
        <v>26069.47</v>
      </c>
      <c r="U32" s="81"/>
      <c r="V32" s="79">
        <f>+V31</f>
        <v>5084.75</v>
      </c>
      <c r="W32" s="3"/>
    </row>
    <row r="33" spans="2:23" ht="18" customHeight="1">
      <c r="B33" s="88" t="s">
        <v>130</v>
      </c>
      <c r="C33" s="85"/>
      <c r="D33" s="87"/>
      <c r="E33" s="87"/>
      <c r="F33" s="87">
        <f>ROUNDDOWN(0.18*F32,2)</f>
        <v>37412.52</v>
      </c>
      <c r="G33" s="96"/>
      <c r="H33" s="97">
        <f>ROUND(H32*0.18,2)</f>
        <v>5213.9</v>
      </c>
      <c r="I33" s="80"/>
      <c r="J33" s="79">
        <f>ROUND(J32*0.18,2)</f>
        <v>5387.69</v>
      </c>
      <c r="K33" s="80"/>
      <c r="L33" s="79">
        <f>ROUND(L32*0.18,2)</f>
        <v>5387.69</v>
      </c>
      <c r="M33" s="80"/>
      <c r="N33" s="79">
        <f>ROUND(N32*0.18,2)</f>
        <v>5213.9</v>
      </c>
      <c r="O33" s="80"/>
      <c r="P33" s="79">
        <f>ROUND(P32*0.18,2)</f>
        <v>5387.69</v>
      </c>
      <c r="Q33" s="80"/>
      <c r="R33" s="79">
        <f>ROUND(R32*0.18,2)</f>
        <v>5213.89</v>
      </c>
      <c r="S33" s="80"/>
      <c r="T33" s="79">
        <f>ROUNDUP(T32*0.18,2)</f>
        <v>4692.51</v>
      </c>
      <c r="U33" s="81"/>
      <c r="V33" s="79">
        <f>ROUNDDOWN(V32*0.18,2)</f>
        <v>915.25</v>
      </c>
      <c r="W33" s="3"/>
    </row>
    <row r="34" spans="2:23" s="2" customFormat="1" ht="18" customHeight="1">
      <c r="B34" s="89" t="s">
        <v>22</v>
      </c>
      <c r="C34" s="89"/>
      <c r="D34" s="89"/>
      <c r="E34" s="60"/>
      <c r="F34" s="60">
        <f>ROUND(SUM(F32:F33),2)</f>
        <v>245259.89</v>
      </c>
      <c r="G34" s="98"/>
      <c r="H34" s="99">
        <f>+SUM(H32:H33)</f>
        <v>34179.99</v>
      </c>
      <c r="I34" s="83"/>
      <c r="J34" s="82">
        <f>+SUM(J32:J33)</f>
        <v>35319.32</v>
      </c>
      <c r="K34" s="83"/>
      <c r="L34" s="82">
        <f>+SUM(L32:L33)</f>
        <v>35319.32</v>
      </c>
      <c r="M34" s="83"/>
      <c r="N34" s="82">
        <f>+SUM(N32:N33)</f>
        <v>34179.99</v>
      </c>
      <c r="O34" s="83"/>
      <c r="P34" s="82">
        <f>+SUM(P32:P33)</f>
        <v>35319.32</v>
      </c>
      <c r="Q34" s="83"/>
      <c r="R34" s="82">
        <f>+SUM(R32:R33)</f>
        <v>34179.97</v>
      </c>
      <c r="S34" s="83"/>
      <c r="T34" s="82">
        <f>+SUM(T32:T33)</f>
        <v>30761.980000000003</v>
      </c>
      <c r="U34" s="82"/>
      <c r="V34" s="82">
        <f>+SUM(V32:V33)</f>
        <v>6000</v>
      </c>
      <c r="W34" s="3"/>
    </row>
    <row r="35" spans="2:22" ht="12.75">
      <c r="B35" s="306" t="s">
        <v>164</v>
      </c>
      <c r="C35" s="306"/>
      <c r="D35" s="306"/>
      <c r="E35" s="306"/>
      <c r="F35" s="306"/>
      <c r="G35" s="100">
        <f>+G30</f>
        <v>0.1429</v>
      </c>
      <c r="H35" s="101">
        <f>+H34</f>
        <v>34179.99</v>
      </c>
      <c r="I35" s="91">
        <f>+I30+G35</f>
        <v>0.2905</v>
      </c>
      <c r="J35" s="92">
        <f>+J34+H35</f>
        <v>69499.31</v>
      </c>
      <c r="K35" s="91">
        <f aca="true" t="shared" si="0" ref="K35:S35">+K30+I35</f>
        <v>0.4381</v>
      </c>
      <c r="L35" s="92">
        <f>+L34+J35</f>
        <v>104818.63</v>
      </c>
      <c r="M35" s="91">
        <f t="shared" si="0"/>
        <v>0.581</v>
      </c>
      <c r="N35" s="92">
        <f>+N34+L35</f>
        <v>138998.62</v>
      </c>
      <c r="O35" s="91">
        <f t="shared" si="0"/>
        <v>0.7285999999999999</v>
      </c>
      <c r="P35" s="92">
        <f>+P34+N35</f>
        <v>174317.94</v>
      </c>
      <c r="Q35" s="91">
        <f t="shared" si="0"/>
        <v>0.8714999999999999</v>
      </c>
      <c r="R35" s="92">
        <f>+R34+P35</f>
        <v>208497.91</v>
      </c>
      <c r="S35" s="91">
        <f t="shared" si="0"/>
        <v>1</v>
      </c>
      <c r="T35" s="92">
        <f>+T34+R35</f>
        <v>239259.89</v>
      </c>
      <c r="U35" s="91">
        <f>+U30+S35</f>
        <v>1</v>
      </c>
      <c r="V35" s="92">
        <f>+V34+T35</f>
        <v>245259.89</v>
      </c>
    </row>
    <row r="36" spans="2:6" ht="12.75">
      <c r="B36" s="1" t="s">
        <v>21</v>
      </c>
      <c r="C36" s="1"/>
      <c r="D36" s="1"/>
      <c r="E36" s="1"/>
      <c r="F36" s="1"/>
    </row>
    <row r="37" spans="2:22" ht="33" customHeight="1">
      <c r="B37" s="304" t="s">
        <v>146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  <row r="38" ht="12.75">
      <c r="G38" s="2"/>
    </row>
    <row r="40" spans="7:22" ht="12.75">
      <c r="G40" s="70" t="s">
        <v>20</v>
      </c>
      <c r="H40" s="70" t="s">
        <v>136</v>
      </c>
      <c r="I40" s="70" t="s">
        <v>20</v>
      </c>
      <c r="J40" s="70" t="s">
        <v>136</v>
      </c>
      <c r="K40" s="70" t="s">
        <v>20</v>
      </c>
      <c r="L40" s="70" t="s">
        <v>136</v>
      </c>
      <c r="M40" s="70" t="s">
        <v>20</v>
      </c>
      <c r="N40" s="70" t="s">
        <v>136</v>
      </c>
      <c r="O40" s="70" t="s">
        <v>20</v>
      </c>
      <c r="P40" s="70" t="s">
        <v>136</v>
      </c>
      <c r="Q40" s="70" t="s">
        <v>20</v>
      </c>
      <c r="R40" s="70" t="s">
        <v>136</v>
      </c>
      <c r="S40" s="70" t="s">
        <v>20</v>
      </c>
      <c r="T40" s="70" t="s">
        <v>136</v>
      </c>
      <c r="U40" s="70" t="s">
        <v>20</v>
      </c>
      <c r="V40" s="70" t="s">
        <v>136</v>
      </c>
    </row>
    <row r="42" spans="7:10" ht="12.75">
      <c r="G42" s="71">
        <f>+G30</f>
        <v>0.1429</v>
      </c>
      <c r="H42" s="67">
        <f>+H30</f>
        <v>28966.09</v>
      </c>
      <c r="I42" s="71">
        <f>+I30+G42</f>
        <v>0.2905</v>
      </c>
      <c r="J42" s="66">
        <f>+H42+J30</f>
        <v>58897.72</v>
      </c>
    </row>
  </sheetData>
  <sheetProtection/>
  <mergeCells count="30">
    <mergeCell ref="B25:V25"/>
    <mergeCell ref="F5:V5"/>
    <mergeCell ref="Q28:R28"/>
    <mergeCell ref="S28:T28"/>
    <mergeCell ref="U27:V27"/>
    <mergeCell ref="U28:V28"/>
    <mergeCell ref="O28:P28"/>
    <mergeCell ref="F17:G17"/>
    <mergeCell ref="F16:G16"/>
    <mergeCell ref="F18:G18"/>
    <mergeCell ref="B37:V37"/>
    <mergeCell ref="G27:H27"/>
    <mergeCell ref="I27:J27"/>
    <mergeCell ref="K27:L27"/>
    <mergeCell ref="M27:N27"/>
    <mergeCell ref="Q27:R27"/>
    <mergeCell ref="S27:T27"/>
    <mergeCell ref="B35:F35"/>
    <mergeCell ref="C27:F28"/>
    <mergeCell ref="G28:H28"/>
    <mergeCell ref="F14:G14"/>
    <mergeCell ref="B27:B29"/>
    <mergeCell ref="B2:V2"/>
    <mergeCell ref="F13:G13"/>
    <mergeCell ref="F15:G15"/>
    <mergeCell ref="O27:P27"/>
    <mergeCell ref="I28:J28"/>
    <mergeCell ref="K28:L28"/>
    <mergeCell ref="M28:N28"/>
    <mergeCell ref="H3:P3"/>
  </mergeCells>
  <printOptions horizontalCentered="1"/>
  <pageMargins left="0.7874015748031497" right="0.3937007874015748" top="0.984251968503937" bottom="0.984251968503937" header="0.3937007874015748" footer="0"/>
  <pageSetup fitToHeight="1" fitToWidth="1" horizontalDpi="600" verticalDpi="600" orientation="landscape" paperSize="9" scale="64" r:id="rId1"/>
  <headerFooter alignWithMargins="0">
    <oddHeader>&amp;C&amp;"Arial,Negrita"&amp;12&amp;U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8"/>
  <sheetViews>
    <sheetView zoomScale="115" zoomScaleNormal="115" zoomScalePageLayoutView="0" workbookViewId="0" topLeftCell="S16">
      <selection activeCell="T21" sqref="T21"/>
    </sheetView>
  </sheetViews>
  <sheetFormatPr defaultColWidth="11.421875" defaultRowHeight="12.75"/>
  <cols>
    <col min="22" max="22" width="11.57421875" style="0" bestFit="1" customWidth="1"/>
    <col min="23" max="23" width="12.28125" style="0" bestFit="1" customWidth="1"/>
  </cols>
  <sheetData>
    <row r="1" spans="1:35" ht="15.75" thickBot="1">
      <c r="A1" s="312" t="s">
        <v>48</v>
      </c>
      <c r="B1" s="313"/>
      <c r="C1" s="8"/>
      <c r="D1" s="8"/>
      <c r="E1" s="8"/>
      <c r="F1" s="9" t="s">
        <v>49</v>
      </c>
      <c r="G1" s="10"/>
      <c r="H1" s="314" t="s">
        <v>50</v>
      </c>
      <c r="I1" s="315"/>
      <c r="J1" s="315"/>
      <c r="K1" s="315"/>
      <c r="L1" s="315"/>
      <c r="M1" s="315"/>
      <c r="N1" s="315"/>
      <c r="O1" s="315"/>
      <c r="P1" s="316"/>
      <c r="T1" s="312" t="s">
        <v>48</v>
      </c>
      <c r="U1" s="313"/>
      <c r="V1" s="8"/>
      <c r="W1" s="8"/>
      <c r="X1" s="8"/>
      <c r="Y1" s="9" t="s">
        <v>49</v>
      </c>
      <c r="Z1" s="10"/>
      <c r="AA1" s="314" t="s">
        <v>50</v>
      </c>
      <c r="AB1" s="315"/>
      <c r="AC1" s="315"/>
      <c r="AD1" s="315"/>
      <c r="AE1" s="315"/>
      <c r="AF1" s="315"/>
      <c r="AG1" s="315"/>
      <c r="AH1" s="315"/>
      <c r="AI1" s="316"/>
    </row>
    <row r="2" spans="1:35" ht="15">
      <c r="A2" s="8"/>
      <c r="B2" s="8"/>
      <c r="C2" s="8"/>
      <c r="D2" s="8"/>
      <c r="E2" s="8"/>
      <c r="F2" s="11"/>
      <c r="G2" s="11">
        <v>0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T2" s="8"/>
      <c r="U2" s="8"/>
      <c r="V2" s="8"/>
      <c r="W2" s="8"/>
      <c r="X2" s="8"/>
      <c r="Y2" s="11"/>
      <c r="Z2" s="11">
        <v>0</v>
      </c>
      <c r="AA2" s="11">
        <v>1</v>
      </c>
      <c r="AB2" s="11">
        <v>2</v>
      </c>
      <c r="AC2" s="11">
        <v>3</v>
      </c>
      <c r="AD2" s="11">
        <v>4</v>
      </c>
      <c r="AE2" s="11">
        <v>5</v>
      </c>
      <c r="AF2" s="11">
        <v>6</v>
      </c>
      <c r="AG2" s="11">
        <v>7</v>
      </c>
      <c r="AH2" s="11">
        <v>8</v>
      </c>
      <c r="AI2" s="11">
        <v>9</v>
      </c>
    </row>
    <row r="3" spans="1:35" ht="15">
      <c r="A3" s="8">
        <v>1</v>
      </c>
      <c r="B3" s="8"/>
      <c r="C3" s="8"/>
      <c r="D3" s="8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T3" s="8">
        <v>1</v>
      </c>
      <c r="U3" s="8"/>
      <c r="V3" s="8"/>
      <c r="W3" s="8"/>
      <c r="X3" s="8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5">
      <c r="A4" s="8">
        <v>2</v>
      </c>
      <c r="B4" s="8"/>
      <c r="C4" s="8"/>
      <c r="D4" s="8"/>
      <c r="E4" s="8"/>
      <c r="F4" s="13" t="str">
        <f aca="true" t="shared" si="0" ref="F4:F13">+A25</f>
        <v>UND</v>
      </c>
      <c r="G4" s="13" t="s">
        <v>51</v>
      </c>
      <c r="H4" s="14" t="s">
        <v>52</v>
      </c>
      <c r="I4" s="14" t="s">
        <v>53</v>
      </c>
      <c r="J4" s="14" t="s">
        <v>54</v>
      </c>
      <c r="K4" s="14" t="s">
        <v>55</v>
      </c>
      <c r="L4" s="14" t="s">
        <v>56</v>
      </c>
      <c r="M4" s="14" t="s">
        <v>57</v>
      </c>
      <c r="N4" s="14" t="s">
        <v>58</v>
      </c>
      <c r="O4" s="14" t="s">
        <v>59</v>
      </c>
      <c r="P4" s="14" t="s">
        <v>60</v>
      </c>
      <c r="T4" s="8">
        <v>2</v>
      </c>
      <c r="U4" s="8"/>
      <c r="V4" s="8"/>
      <c r="W4" s="8"/>
      <c r="X4" s="8"/>
      <c r="Y4" s="13" t="str">
        <f aca="true" t="shared" si="1" ref="Y4:Y13">+T25</f>
        <v>UND</v>
      </c>
      <c r="Z4" s="13" t="s">
        <v>51</v>
      </c>
      <c r="AA4" s="14" t="s">
        <v>52</v>
      </c>
      <c r="AB4" s="14" t="s">
        <v>53</v>
      </c>
      <c r="AC4" s="14" t="s">
        <v>54</v>
      </c>
      <c r="AD4" s="14" t="s">
        <v>55</v>
      </c>
      <c r="AE4" s="14" t="s">
        <v>56</v>
      </c>
      <c r="AF4" s="14" t="s">
        <v>57</v>
      </c>
      <c r="AG4" s="14" t="s">
        <v>58</v>
      </c>
      <c r="AH4" s="14" t="s">
        <v>59</v>
      </c>
      <c r="AI4" s="14" t="s">
        <v>60</v>
      </c>
    </row>
    <row r="5" spans="1:35" ht="15">
      <c r="A5" s="8">
        <v>3</v>
      </c>
      <c r="B5" s="8"/>
      <c r="C5" s="8"/>
      <c r="D5" s="8"/>
      <c r="E5" s="8"/>
      <c r="F5" s="13" t="str">
        <f t="shared" si="0"/>
        <v>DEC</v>
      </c>
      <c r="G5" s="13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  <c r="M5" s="14" t="s">
        <v>67</v>
      </c>
      <c r="N5" s="14" t="s">
        <v>68</v>
      </c>
      <c r="O5" s="14" t="s">
        <v>69</v>
      </c>
      <c r="P5" s="14" t="s">
        <v>70</v>
      </c>
      <c r="T5" s="8">
        <v>3</v>
      </c>
      <c r="U5" s="8"/>
      <c r="V5" s="8"/>
      <c r="W5" s="8"/>
      <c r="X5" s="8"/>
      <c r="Y5" s="13" t="str">
        <f t="shared" si="1"/>
        <v>DEC</v>
      </c>
      <c r="Z5" s="13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68</v>
      </c>
      <c r="AH5" s="14" t="s">
        <v>69</v>
      </c>
      <c r="AI5" s="14" t="s">
        <v>70</v>
      </c>
    </row>
    <row r="6" spans="1:35" ht="15">
      <c r="A6" s="8">
        <v>4</v>
      </c>
      <c r="B6" s="8"/>
      <c r="C6" s="8"/>
      <c r="D6" s="8"/>
      <c r="E6" s="8"/>
      <c r="F6" s="13" t="str">
        <f t="shared" si="0"/>
        <v>CENT</v>
      </c>
      <c r="G6" s="13" t="s">
        <v>71</v>
      </c>
      <c r="H6" s="14" t="s">
        <v>72</v>
      </c>
      <c r="I6" s="14" t="s">
        <v>73</v>
      </c>
      <c r="J6" s="14" t="s">
        <v>74</v>
      </c>
      <c r="K6" s="14" t="s">
        <v>75</v>
      </c>
      <c r="L6" s="14" t="s">
        <v>76</v>
      </c>
      <c r="M6" s="14" t="s">
        <v>77</v>
      </c>
      <c r="N6" s="14" t="s">
        <v>78</v>
      </c>
      <c r="O6" s="14" t="s">
        <v>79</v>
      </c>
      <c r="P6" s="14" t="s">
        <v>80</v>
      </c>
      <c r="T6" s="8">
        <v>4</v>
      </c>
      <c r="U6" s="8"/>
      <c r="V6" s="8"/>
      <c r="W6" s="8"/>
      <c r="X6" s="8"/>
      <c r="Y6" s="13" t="str">
        <f t="shared" si="1"/>
        <v>CENT</v>
      </c>
      <c r="Z6" s="13" t="s">
        <v>71</v>
      </c>
      <c r="AA6" s="14" t="s">
        <v>72</v>
      </c>
      <c r="AB6" s="14" t="s">
        <v>73</v>
      </c>
      <c r="AC6" s="14" t="s">
        <v>74</v>
      </c>
      <c r="AD6" s="14" t="s">
        <v>75</v>
      </c>
      <c r="AE6" s="14" t="s">
        <v>76</v>
      </c>
      <c r="AF6" s="14" t="s">
        <v>77</v>
      </c>
      <c r="AG6" s="14" t="s">
        <v>78</v>
      </c>
      <c r="AH6" s="14" t="s">
        <v>79</v>
      </c>
      <c r="AI6" s="14" t="s">
        <v>80</v>
      </c>
    </row>
    <row r="7" spans="1:35" ht="15">
      <c r="A7" s="8">
        <v>5</v>
      </c>
      <c r="B7" s="8"/>
      <c r="C7" s="8"/>
      <c r="D7" s="8"/>
      <c r="E7" s="8"/>
      <c r="F7" s="13" t="str">
        <f t="shared" si="0"/>
        <v>UND MILLAR</v>
      </c>
      <c r="G7" s="13" t="s">
        <v>51</v>
      </c>
      <c r="H7" s="14" t="s">
        <v>52</v>
      </c>
      <c r="I7" s="14" t="str">
        <f>+I4&amp;$G$7</f>
        <v>DOS  </v>
      </c>
      <c r="J7" s="14" t="str">
        <f aca="true" t="shared" si="2" ref="J7:P7">+J4&amp;$G$7</f>
        <v>TRES  </v>
      </c>
      <c r="K7" s="14" t="str">
        <f t="shared" si="2"/>
        <v>CUATRO  </v>
      </c>
      <c r="L7" s="14" t="str">
        <f t="shared" si="2"/>
        <v>CINCO  </v>
      </c>
      <c r="M7" s="14" t="str">
        <f t="shared" si="2"/>
        <v>SEIS  </v>
      </c>
      <c r="N7" s="14" t="str">
        <f t="shared" si="2"/>
        <v>SIETE  </v>
      </c>
      <c r="O7" s="14" t="str">
        <f t="shared" si="2"/>
        <v>OCHO  </v>
      </c>
      <c r="P7" s="14" t="str">
        <f t="shared" si="2"/>
        <v>NUEVE  </v>
      </c>
      <c r="T7" s="8">
        <v>5</v>
      </c>
      <c r="U7" s="8"/>
      <c r="V7" s="8"/>
      <c r="W7" s="8"/>
      <c r="X7" s="8"/>
      <c r="Y7" s="13" t="str">
        <f t="shared" si="1"/>
        <v>UND MILLAR</v>
      </c>
      <c r="Z7" s="13" t="s">
        <v>51</v>
      </c>
      <c r="AA7" s="14" t="s">
        <v>52</v>
      </c>
      <c r="AB7" s="14" t="str">
        <f>+AB4&amp;$G$7</f>
        <v>DOS  </v>
      </c>
      <c r="AC7" s="14" t="str">
        <f aca="true" t="shared" si="3" ref="AC7:AI7">+AC4&amp;$G$7</f>
        <v>TRES  </v>
      </c>
      <c r="AD7" s="14" t="str">
        <f t="shared" si="3"/>
        <v>CUATRO  </v>
      </c>
      <c r="AE7" s="14" t="str">
        <f t="shared" si="3"/>
        <v>CINCO  </v>
      </c>
      <c r="AF7" s="14" t="str">
        <f t="shared" si="3"/>
        <v>SEIS  </v>
      </c>
      <c r="AG7" s="14" t="str">
        <f t="shared" si="3"/>
        <v>SIETE  </v>
      </c>
      <c r="AH7" s="14" t="str">
        <f t="shared" si="3"/>
        <v>OCHO  </v>
      </c>
      <c r="AI7" s="14" t="str">
        <f t="shared" si="3"/>
        <v>NUEVE  </v>
      </c>
    </row>
    <row r="8" spans="1:35" ht="15">
      <c r="A8" s="8">
        <v>6</v>
      </c>
      <c r="B8" s="8"/>
      <c r="C8" s="8"/>
      <c r="D8" s="8"/>
      <c r="E8" s="8"/>
      <c r="F8" s="13" t="str">
        <f t="shared" si="0"/>
        <v>DEC MILLAR</v>
      </c>
      <c r="G8" s="13" t="s">
        <v>51</v>
      </c>
      <c r="H8" s="14" t="str">
        <f>+H5</f>
        <v>DIECI</v>
      </c>
      <c r="I8" s="14" t="str">
        <f aca="true" t="shared" si="4" ref="I8:P8">+I5</f>
        <v>VEINTI</v>
      </c>
      <c r="J8" s="14" t="str">
        <f>+J5</f>
        <v>TREINTA </v>
      </c>
      <c r="K8" s="14" t="str">
        <f t="shared" si="4"/>
        <v>CUARENTA </v>
      </c>
      <c r="L8" s="14" t="str">
        <f t="shared" si="4"/>
        <v>CINCUENTA </v>
      </c>
      <c r="M8" s="14" t="str">
        <f t="shared" si="4"/>
        <v>SESENTA </v>
      </c>
      <c r="N8" s="14" t="str">
        <f t="shared" si="4"/>
        <v>SETENTA </v>
      </c>
      <c r="O8" s="14" t="str">
        <f t="shared" si="4"/>
        <v>OCHENTA </v>
      </c>
      <c r="P8" s="14" t="str">
        <f t="shared" si="4"/>
        <v>NOVENTA </v>
      </c>
      <c r="T8" s="8">
        <v>6</v>
      </c>
      <c r="U8" s="8"/>
      <c r="V8" s="8"/>
      <c r="W8" s="8"/>
      <c r="X8" s="8"/>
      <c r="Y8" s="13" t="str">
        <f t="shared" si="1"/>
        <v>DEC MILLAR</v>
      </c>
      <c r="Z8" s="13" t="s">
        <v>51</v>
      </c>
      <c r="AA8" s="14" t="str">
        <f>+AA5</f>
        <v>DIECI</v>
      </c>
      <c r="AB8" s="14" t="str">
        <f>+AB5</f>
        <v>VEINTI</v>
      </c>
      <c r="AC8" s="14" t="str">
        <f>+AC5</f>
        <v>TREINTA </v>
      </c>
      <c r="AD8" s="14" t="str">
        <f aca="true" t="shared" si="5" ref="AD8:AI8">+AD5</f>
        <v>CUARENTA </v>
      </c>
      <c r="AE8" s="14" t="str">
        <f t="shared" si="5"/>
        <v>CINCUENTA </v>
      </c>
      <c r="AF8" s="14" t="str">
        <f t="shared" si="5"/>
        <v>SESENTA </v>
      </c>
      <c r="AG8" s="14" t="str">
        <f t="shared" si="5"/>
        <v>SETENTA </v>
      </c>
      <c r="AH8" s="14" t="str">
        <f t="shared" si="5"/>
        <v>OCHENTA </v>
      </c>
      <c r="AI8" s="14" t="str">
        <f t="shared" si="5"/>
        <v>NOVENTA </v>
      </c>
    </row>
    <row r="9" spans="1:35" ht="15">
      <c r="A9" s="8">
        <v>7</v>
      </c>
      <c r="B9" s="8"/>
      <c r="C9" s="8"/>
      <c r="D9" s="8"/>
      <c r="E9" s="8"/>
      <c r="F9" s="13" t="str">
        <f t="shared" si="0"/>
        <v>CENT MILLAR</v>
      </c>
      <c r="G9" s="13" t="str">
        <f>+G6&amp;$G$7</f>
        <v>CIEN  </v>
      </c>
      <c r="H9" s="14" t="str">
        <f aca="true" t="shared" si="6" ref="H9:P9">+H6</f>
        <v>CIENTO </v>
      </c>
      <c r="I9" s="14" t="str">
        <f t="shared" si="6"/>
        <v>DOSCIENTOS </v>
      </c>
      <c r="J9" s="14" t="str">
        <f t="shared" si="6"/>
        <v>TRESCEINTOS </v>
      </c>
      <c r="K9" s="14" t="str">
        <f t="shared" si="6"/>
        <v>CUATROCIENTOS </v>
      </c>
      <c r="L9" s="14" t="str">
        <f t="shared" si="6"/>
        <v>QUINIENTOS </v>
      </c>
      <c r="M9" s="14" t="str">
        <f t="shared" si="6"/>
        <v>SEISCIENTOS </v>
      </c>
      <c r="N9" s="14" t="str">
        <f t="shared" si="6"/>
        <v>SETECIENTOS </v>
      </c>
      <c r="O9" s="14" t="str">
        <f t="shared" si="6"/>
        <v>OCHOCIENTOS </v>
      </c>
      <c r="P9" s="14" t="str">
        <f t="shared" si="6"/>
        <v>NOVECIENTOS </v>
      </c>
      <c r="T9" s="8">
        <v>7</v>
      </c>
      <c r="U9" s="8"/>
      <c r="V9" s="8"/>
      <c r="W9" s="8"/>
      <c r="X9" s="8"/>
      <c r="Y9" s="13" t="str">
        <f t="shared" si="1"/>
        <v>CENT MILLAR</v>
      </c>
      <c r="Z9" s="13" t="str">
        <f>+Z6&amp;$G$7</f>
        <v>CIEN  </v>
      </c>
      <c r="AA9" s="14" t="str">
        <f aca="true" t="shared" si="7" ref="AA9:AI9">+AA6</f>
        <v>CIENTO </v>
      </c>
      <c r="AB9" s="14" t="str">
        <f t="shared" si="7"/>
        <v>DOSCIENTOS </v>
      </c>
      <c r="AC9" s="14" t="str">
        <f t="shared" si="7"/>
        <v>TRESCEINTOS </v>
      </c>
      <c r="AD9" s="14" t="str">
        <f t="shared" si="7"/>
        <v>CUATROCIENTOS </v>
      </c>
      <c r="AE9" s="14" t="str">
        <f t="shared" si="7"/>
        <v>QUINIENTOS </v>
      </c>
      <c r="AF9" s="14" t="str">
        <f t="shared" si="7"/>
        <v>SEISCIENTOS </v>
      </c>
      <c r="AG9" s="14" t="str">
        <f t="shared" si="7"/>
        <v>SETECIENTOS </v>
      </c>
      <c r="AH9" s="14" t="str">
        <f t="shared" si="7"/>
        <v>OCHOCIENTOS </v>
      </c>
      <c r="AI9" s="14" t="str">
        <f t="shared" si="7"/>
        <v>NOVECIENTOS </v>
      </c>
    </row>
    <row r="10" spans="1:35" ht="15">
      <c r="A10" s="8">
        <v>8</v>
      </c>
      <c r="B10" s="8"/>
      <c r="C10" s="8"/>
      <c r="D10" s="8"/>
      <c r="E10" s="8"/>
      <c r="F10" s="13" t="str">
        <f t="shared" si="0"/>
        <v>UND  MILLÓN</v>
      </c>
      <c r="G10" s="13"/>
      <c r="H10" s="14" t="str">
        <f>"UN "&amp;$G$10</f>
        <v>UN </v>
      </c>
      <c r="I10" s="14" t="str">
        <f>+I4&amp;$G$10</f>
        <v>DOS </v>
      </c>
      <c r="J10" s="14" t="str">
        <f aca="true" t="shared" si="8" ref="J10:P10">+J4&amp;$G$10</f>
        <v>TRES </v>
      </c>
      <c r="K10" s="14" t="str">
        <f t="shared" si="8"/>
        <v>CUATRO </v>
      </c>
      <c r="L10" s="14" t="str">
        <f t="shared" si="8"/>
        <v>CINCO </v>
      </c>
      <c r="M10" s="14" t="str">
        <f t="shared" si="8"/>
        <v>SEIS </v>
      </c>
      <c r="N10" s="14" t="str">
        <f t="shared" si="8"/>
        <v>SIETE </v>
      </c>
      <c r="O10" s="14" t="str">
        <f t="shared" si="8"/>
        <v>OCHO </v>
      </c>
      <c r="P10" s="14" t="str">
        <f t="shared" si="8"/>
        <v>NUEVE </v>
      </c>
      <c r="T10" s="8">
        <v>8</v>
      </c>
      <c r="U10" s="8"/>
      <c r="V10" s="8"/>
      <c r="W10" s="8"/>
      <c r="X10" s="8"/>
      <c r="Y10" s="13" t="str">
        <f t="shared" si="1"/>
        <v>UND  MILLÓN</v>
      </c>
      <c r="Z10" s="13"/>
      <c r="AA10" s="14" t="str">
        <f>"UN "&amp;$G$10</f>
        <v>UN </v>
      </c>
      <c r="AB10" s="14" t="str">
        <f>+AB4&amp;$G$10</f>
        <v>DOS </v>
      </c>
      <c r="AC10" s="14" t="str">
        <f aca="true" t="shared" si="9" ref="AC10:AI10">+AC4&amp;$G$10</f>
        <v>TRES </v>
      </c>
      <c r="AD10" s="14" t="str">
        <f t="shared" si="9"/>
        <v>CUATRO </v>
      </c>
      <c r="AE10" s="14" t="str">
        <f t="shared" si="9"/>
        <v>CINCO </v>
      </c>
      <c r="AF10" s="14" t="str">
        <f t="shared" si="9"/>
        <v>SEIS </v>
      </c>
      <c r="AG10" s="14" t="str">
        <f t="shared" si="9"/>
        <v>SIETE </v>
      </c>
      <c r="AH10" s="14" t="str">
        <f t="shared" si="9"/>
        <v>OCHO </v>
      </c>
      <c r="AI10" s="14" t="str">
        <f t="shared" si="9"/>
        <v>NUEVE </v>
      </c>
    </row>
    <row r="11" spans="1:35" ht="15">
      <c r="A11" s="8">
        <v>9</v>
      </c>
      <c r="B11" s="8"/>
      <c r="C11" s="8"/>
      <c r="D11" s="8"/>
      <c r="E11" s="8"/>
      <c r="F11" s="13" t="str">
        <f t="shared" si="0"/>
        <v>DEC MILLÓN</v>
      </c>
      <c r="G11" s="13" t="str">
        <f>+G5&amp;G10&amp;"ES"</f>
        <v>DIEZ ES</v>
      </c>
      <c r="H11" s="14" t="str">
        <f aca="true" t="shared" si="10" ref="H11:P12">+H8</f>
        <v>DIECI</v>
      </c>
      <c r="I11" s="14" t="str">
        <f t="shared" si="10"/>
        <v>VEINTI</v>
      </c>
      <c r="J11" s="14" t="str">
        <f t="shared" si="10"/>
        <v>TREINTA </v>
      </c>
      <c r="K11" s="14" t="str">
        <f t="shared" si="10"/>
        <v>CUARENTA </v>
      </c>
      <c r="L11" s="14" t="str">
        <f t="shared" si="10"/>
        <v>CINCUENTA </v>
      </c>
      <c r="M11" s="14" t="str">
        <f t="shared" si="10"/>
        <v>SESENTA </v>
      </c>
      <c r="N11" s="14" t="str">
        <f t="shared" si="10"/>
        <v>SETENTA </v>
      </c>
      <c r="O11" s="14" t="str">
        <f t="shared" si="10"/>
        <v>OCHENTA </v>
      </c>
      <c r="P11" s="14" t="str">
        <f t="shared" si="10"/>
        <v>NOVENTA </v>
      </c>
      <c r="T11" s="8">
        <v>9</v>
      </c>
      <c r="U11" s="8"/>
      <c r="V11" s="8"/>
      <c r="W11" s="8"/>
      <c r="X11" s="8"/>
      <c r="Y11" s="13" t="str">
        <f t="shared" si="1"/>
        <v>DEC MILLÓN</v>
      </c>
      <c r="Z11" s="13" t="str">
        <f>+Z5&amp;Z10&amp;"ES"</f>
        <v>DIEZ ES</v>
      </c>
      <c r="AA11" s="14" t="str">
        <f aca="true" t="shared" si="11" ref="AA11:AI11">+AA8</f>
        <v>DIECI</v>
      </c>
      <c r="AB11" s="14" t="str">
        <f t="shared" si="11"/>
        <v>VEINTI</v>
      </c>
      <c r="AC11" s="14" t="str">
        <f t="shared" si="11"/>
        <v>TREINTA </v>
      </c>
      <c r="AD11" s="14" t="str">
        <f t="shared" si="11"/>
        <v>CUARENTA </v>
      </c>
      <c r="AE11" s="14" t="str">
        <f t="shared" si="11"/>
        <v>CINCUENTA </v>
      </c>
      <c r="AF11" s="14" t="str">
        <f t="shared" si="11"/>
        <v>SESENTA </v>
      </c>
      <c r="AG11" s="14" t="str">
        <f t="shared" si="11"/>
        <v>SETENTA </v>
      </c>
      <c r="AH11" s="14" t="str">
        <f t="shared" si="11"/>
        <v>OCHENTA </v>
      </c>
      <c r="AI11" s="14" t="str">
        <f t="shared" si="11"/>
        <v>NOVENTA </v>
      </c>
    </row>
    <row r="12" spans="1:35" ht="15">
      <c r="A12" s="8">
        <v>10</v>
      </c>
      <c r="B12" s="8"/>
      <c r="C12" s="8"/>
      <c r="D12" s="8"/>
      <c r="E12" s="8"/>
      <c r="F12" s="13" t="str">
        <f t="shared" si="0"/>
        <v>CENT MILLÓN</v>
      </c>
      <c r="G12" s="13"/>
      <c r="H12" s="14" t="str">
        <f t="shared" si="10"/>
        <v>CIENTO </v>
      </c>
      <c r="I12" s="14" t="str">
        <f t="shared" si="10"/>
        <v>DOSCIENTOS </v>
      </c>
      <c r="J12" s="14" t="str">
        <f t="shared" si="10"/>
        <v>TRESCEINTOS </v>
      </c>
      <c r="K12" s="14" t="str">
        <f t="shared" si="10"/>
        <v>CUATROCIENTOS </v>
      </c>
      <c r="L12" s="14" t="str">
        <f t="shared" si="10"/>
        <v>QUINIENTOS </v>
      </c>
      <c r="M12" s="14" t="str">
        <f t="shared" si="10"/>
        <v>SEISCIENTOS </v>
      </c>
      <c r="N12" s="14" t="str">
        <f t="shared" si="10"/>
        <v>SETECIENTOS </v>
      </c>
      <c r="O12" s="14" t="str">
        <f t="shared" si="10"/>
        <v>OCHOCIENTOS </v>
      </c>
      <c r="P12" s="14" t="str">
        <f t="shared" si="10"/>
        <v>NOVECIENTOS </v>
      </c>
      <c r="T12" s="8">
        <v>10</v>
      </c>
      <c r="U12" s="8"/>
      <c r="V12" s="8"/>
      <c r="W12" s="8"/>
      <c r="X12" s="8"/>
      <c r="Y12" s="13" t="str">
        <f t="shared" si="1"/>
        <v>CENT MILLÓN</v>
      </c>
      <c r="Z12" s="13"/>
      <c r="AA12" s="14" t="str">
        <f aca="true" t="shared" si="12" ref="AA12:AI12">+AA9</f>
        <v>CIENTO </v>
      </c>
      <c r="AB12" s="14" t="str">
        <f t="shared" si="12"/>
        <v>DOSCIENTOS </v>
      </c>
      <c r="AC12" s="14" t="str">
        <f t="shared" si="12"/>
        <v>TRESCEINTOS </v>
      </c>
      <c r="AD12" s="14" t="str">
        <f t="shared" si="12"/>
        <v>CUATROCIENTOS </v>
      </c>
      <c r="AE12" s="14" t="str">
        <f t="shared" si="12"/>
        <v>QUINIENTOS </v>
      </c>
      <c r="AF12" s="14" t="str">
        <f t="shared" si="12"/>
        <v>SEISCIENTOS </v>
      </c>
      <c r="AG12" s="14" t="str">
        <f t="shared" si="12"/>
        <v>SETECIENTOS </v>
      </c>
      <c r="AH12" s="14" t="str">
        <f t="shared" si="12"/>
        <v>OCHOCIENTOS </v>
      </c>
      <c r="AI12" s="14" t="str">
        <f t="shared" si="12"/>
        <v>NOVECIENTOS </v>
      </c>
    </row>
    <row r="13" spans="1:35" ht="15">
      <c r="A13" s="8">
        <v>11</v>
      </c>
      <c r="B13" s="8"/>
      <c r="C13" s="8"/>
      <c r="D13" s="8"/>
      <c r="E13" s="8"/>
      <c r="F13" s="15" t="str">
        <f t="shared" si="0"/>
        <v>MIL MILLON</v>
      </c>
      <c r="G13" s="15"/>
      <c r="H13" s="14" t="s">
        <v>52</v>
      </c>
      <c r="I13" s="16" t="str">
        <f>+I4&amp;$G$13</f>
        <v>DOS </v>
      </c>
      <c r="J13" s="16" t="str">
        <f aca="true" t="shared" si="13" ref="J13:P13">+J4&amp;$G$13</f>
        <v>TRES </v>
      </c>
      <c r="K13" s="16" t="str">
        <f t="shared" si="13"/>
        <v>CUATRO </v>
      </c>
      <c r="L13" s="16" t="str">
        <f t="shared" si="13"/>
        <v>CINCO </v>
      </c>
      <c r="M13" s="16" t="str">
        <f t="shared" si="13"/>
        <v>SEIS </v>
      </c>
      <c r="N13" s="16" t="str">
        <f t="shared" si="13"/>
        <v>SIETE </v>
      </c>
      <c r="O13" s="16" t="str">
        <f t="shared" si="13"/>
        <v>OCHO </v>
      </c>
      <c r="P13" s="16" t="str">
        <f t="shared" si="13"/>
        <v>NUEVE </v>
      </c>
      <c r="T13" s="8">
        <v>11</v>
      </c>
      <c r="U13" s="8"/>
      <c r="V13" s="8"/>
      <c r="W13" s="8"/>
      <c r="X13" s="8"/>
      <c r="Y13" s="15" t="str">
        <f t="shared" si="1"/>
        <v>MIL MILLON</v>
      </c>
      <c r="Z13" s="15"/>
      <c r="AA13" s="14" t="s">
        <v>52</v>
      </c>
      <c r="AB13" s="16" t="str">
        <f>+AB4&amp;$G$13</f>
        <v>DOS </v>
      </c>
      <c r="AC13" s="16" t="str">
        <f aca="true" t="shared" si="14" ref="AC13:AI13">+AC4&amp;$G$13</f>
        <v>TRES </v>
      </c>
      <c r="AD13" s="16" t="str">
        <f t="shared" si="14"/>
        <v>CUATRO </v>
      </c>
      <c r="AE13" s="16" t="str">
        <f t="shared" si="14"/>
        <v>CINCO </v>
      </c>
      <c r="AF13" s="16" t="str">
        <f t="shared" si="14"/>
        <v>SEIS </v>
      </c>
      <c r="AG13" s="16" t="str">
        <f t="shared" si="14"/>
        <v>SIETE </v>
      </c>
      <c r="AH13" s="16" t="str">
        <f t="shared" si="14"/>
        <v>OCHO </v>
      </c>
      <c r="AI13" s="16" t="str">
        <f t="shared" si="14"/>
        <v>NUEVE </v>
      </c>
    </row>
    <row r="14" spans="1:35" ht="15">
      <c r="A14" s="8">
        <v>12</v>
      </c>
      <c r="B14" s="8"/>
      <c r="C14" s="8"/>
      <c r="D14" s="8"/>
      <c r="E14" s="8"/>
      <c r="F14" s="15" t="str">
        <f>+A35</f>
        <v>DEC UND MILLON</v>
      </c>
      <c r="G14" s="15"/>
      <c r="H14" s="14" t="s">
        <v>62</v>
      </c>
      <c r="I14" s="16" t="str">
        <f aca="true" t="shared" si="15" ref="I14:P17">+I5&amp;$G$13</f>
        <v>VEINTI</v>
      </c>
      <c r="J14" s="16" t="str">
        <f t="shared" si="15"/>
        <v>TREINTA </v>
      </c>
      <c r="K14" s="16" t="str">
        <f t="shared" si="15"/>
        <v>CUARENTA </v>
      </c>
      <c r="L14" s="16" t="str">
        <f t="shared" si="15"/>
        <v>CINCUENTA </v>
      </c>
      <c r="M14" s="16" t="str">
        <f t="shared" si="15"/>
        <v>SESENTA </v>
      </c>
      <c r="N14" s="16" t="str">
        <f t="shared" si="15"/>
        <v>SETENTA </v>
      </c>
      <c r="O14" s="16" t="str">
        <f t="shared" si="15"/>
        <v>OCHENTA </v>
      </c>
      <c r="P14" s="16" t="str">
        <f t="shared" si="15"/>
        <v>NOVENTA </v>
      </c>
      <c r="T14" s="8">
        <v>12</v>
      </c>
      <c r="U14" s="8"/>
      <c r="V14" s="8"/>
      <c r="W14" s="8"/>
      <c r="X14" s="8"/>
      <c r="Y14" s="15" t="str">
        <f>+T35</f>
        <v>DEC UND MILLON</v>
      </c>
      <c r="Z14" s="15"/>
      <c r="AA14" s="14" t="s">
        <v>62</v>
      </c>
      <c r="AB14" s="16" t="str">
        <f aca="true" t="shared" si="16" ref="AB14:AI14">+AB5&amp;$G$13</f>
        <v>VEINTI</v>
      </c>
      <c r="AC14" s="16" t="str">
        <f t="shared" si="16"/>
        <v>TREINTA </v>
      </c>
      <c r="AD14" s="16" t="str">
        <f t="shared" si="16"/>
        <v>CUARENTA </v>
      </c>
      <c r="AE14" s="16" t="str">
        <f t="shared" si="16"/>
        <v>CINCUENTA </v>
      </c>
      <c r="AF14" s="16" t="str">
        <f t="shared" si="16"/>
        <v>SESENTA </v>
      </c>
      <c r="AG14" s="16" t="str">
        <f t="shared" si="16"/>
        <v>SETENTA </v>
      </c>
      <c r="AH14" s="16" t="str">
        <f t="shared" si="16"/>
        <v>OCHENTA </v>
      </c>
      <c r="AI14" s="16" t="str">
        <f t="shared" si="16"/>
        <v>NOVENTA </v>
      </c>
    </row>
    <row r="15" spans="1:35" ht="15">
      <c r="A15" s="8">
        <v>13</v>
      </c>
      <c r="B15" s="8"/>
      <c r="C15" s="8"/>
      <c r="D15" s="8"/>
      <c r="E15" s="8"/>
      <c r="F15" s="15" t="str">
        <f>+A36</f>
        <v>CENT UND MILLON</v>
      </c>
      <c r="G15" s="15" t="s">
        <v>81</v>
      </c>
      <c r="H15" s="14" t="str">
        <f>+H12</f>
        <v>CIENTO </v>
      </c>
      <c r="I15" s="16" t="str">
        <f t="shared" si="15"/>
        <v>DOSCIENTOS </v>
      </c>
      <c r="J15" s="16" t="str">
        <f t="shared" si="15"/>
        <v>TRESCEINTOS </v>
      </c>
      <c r="K15" s="16" t="str">
        <f t="shared" si="15"/>
        <v>CUATROCIENTOS </v>
      </c>
      <c r="L15" s="16" t="str">
        <f t="shared" si="15"/>
        <v>QUINIENTOS </v>
      </c>
      <c r="M15" s="16" t="str">
        <f t="shared" si="15"/>
        <v>SEISCIENTOS </v>
      </c>
      <c r="N15" s="16" t="str">
        <f t="shared" si="15"/>
        <v>SETECIENTOS </v>
      </c>
      <c r="O15" s="16" t="str">
        <f t="shared" si="15"/>
        <v>OCHOCIENTOS </v>
      </c>
      <c r="P15" s="16" t="str">
        <f t="shared" si="15"/>
        <v>NOVECIENTOS </v>
      </c>
      <c r="T15" s="8">
        <v>13</v>
      </c>
      <c r="U15" s="8"/>
      <c r="V15" s="8"/>
      <c r="W15" s="8"/>
      <c r="X15" s="8"/>
      <c r="Y15" s="15" t="str">
        <f>+T36</f>
        <v>CENT UND MILLON</v>
      </c>
      <c r="Z15" s="15" t="s">
        <v>81</v>
      </c>
      <c r="AA15" s="14" t="str">
        <f>+AA12</f>
        <v>CIENTO </v>
      </c>
      <c r="AB15" s="16" t="str">
        <f aca="true" t="shared" si="17" ref="AB15:AI15">+AB6&amp;$G$13</f>
        <v>DOSCIENTOS </v>
      </c>
      <c r="AC15" s="16" t="str">
        <f t="shared" si="17"/>
        <v>TRESCEINTOS </v>
      </c>
      <c r="AD15" s="16" t="str">
        <f t="shared" si="17"/>
        <v>CUATROCIENTOS </v>
      </c>
      <c r="AE15" s="16" t="str">
        <f t="shared" si="17"/>
        <v>QUINIENTOS </v>
      </c>
      <c r="AF15" s="16" t="str">
        <f t="shared" si="17"/>
        <v>SEISCIENTOS </v>
      </c>
      <c r="AG15" s="16" t="str">
        <f t="shared" si="17"/>
        <v>SETECIENTOS </v>
      </c>
      <c r="AH15" s="16" t="str">
        <f t="shared" si="17"/>
        <v>OCHOCIENTOS </v>
      </c>
      <c r="AI15" s="16" t="str">
        <f t="shared" si="17"/>
        <v>NOVECIENTOS </v>
      </c>
    </row>
    <row r="16" spans="1:35" ht="15">
      <c r="A16" s="8">
        <v>14</v>
      </c>
      <c r="B16" s="8"/>
      <c r="C16" s="8"/>
      <c r="D16" s="8"/>
      <c r="E16" s="8"/>
      <c r="F16" s="15" t="str">
        <f>+A37</f>
        <v>UND BILLON</v>
      </c>
      <c r="G16" s="15"/>
      <c r="H16" s="17" t="s">
        <v>82</v>
      </c>
      <c r="I16" s="16" t="str">
        <f t="shared" si="15"/>
        <v>DOS  </v>
      </c>
      <c r="J16" s="16" t="str">
        <f t="shared" si="15"/>
        <v>TRES  </v>
      </c>
      <c r="K16" s="16" t="str">
        <f t="shared" si="15"/>
        <v>CUATRO  </v>
      </c>
      <c r="L16" s="16" t="str">
        <f t="shared" si="15"/>
        <v>CINCO  </v>
      </c>
      <c r="M16" s="16" t="str">
        <f t="shared" si="15"/>
        <v>SEIS  </v>
      </c>
      <c r="N16" s="16" t="str">
        <f t="shared" si="15"/>
        <v>SIETE  </v>
      </c>
      <c r="O16" s="16" t="str">
        <f t="shared" si="15"/>
        <v>OCHO  </v>
      </c>
      <c r="P16" s="16" t="str">
        <f t="shared" si="15"/>
        <v>NUEVE  </v>
      </c>
      <c r="T16" s="8">
        <v>14</v>
      </c>
      <c r="U16" s="8"/>
      <c r="V16" s="8"/>
      <c r="W16" s="8"/>
      <c r="X16" s="8"/>
      <c r="Y16" s="15" t="str">
        <f>+T37</f>
        <v>UND BILLON</v>
      </c>
      <c r="Z16" s="15"/>
      <c r="AA16" s="17" t="s">
        <v>82</v>
      </c>
      <c r="AB16" s="16" t="str">
        <f aca="true" t="shared" si="18" ref="AB16:AI16">+AB7&amp;$G$13</f>
        <v>DOS  </v>
      </c>
      <c r="AC16" s="16" t="str">
        <f t="shared" si="18"/>
        <v>TRES  </v>
      </c>
      <c r="AD16" s="16" t="str">
        <f t="shared" si="18"/>
        <v>CUATRO  </v>
      </c>
      <c r="AE16" s="16" t="str">
        <f t="shared" si="18"/>
        <v>CINCO  </v>
      </c>
      <c r="AF16" s="16" t="str">
        <f t="shared" si="18"/>
        <v>SEIS  </v>
      </c>
      <c r="AG16" s="16" t="str">
        <f t="shared" si="18"/>
        <v>SIETE  </v>
      </c>
      <c r="AH16" s="16" t="str">
        <f t="shared" si="18"/>
        <v>OCHO  </v>
      </c>
      <c r="AI16" s="16" t="str">
        <f t="shared" si="18"/>
        <v>NUEVE  </v>
      </c>
    </row>
    <row r="17" spans="1:35" ht="15">
      <c r="A17" s="8">
        <v>15</v>
      </c>
      <c r="B17" s="8"/>
      <c r="C17" s="8"/>
      <c r="D17" s="8"/>
      <c r="E17" s="8"/>
      <c r="F17" s="15" t="str">
        <f>+A38</f>
        <v>DEC BILLON</v>
      </c>
      <c r="G17" s="15"/>
      <c r="H17" s="16" t="s">
        <v>62</v>
      </c>
      <c r="I17" s="16" t="str">
        <f t="shared" si="15"/>
        <v>VEINTI</v>
      </c>
      <c r="J17" s="16" t="str">
        <f t="shared" si="15"/>
        <v>TREINTA </v>
      </c>
      <c r="K17" s="16" t="str">
        <f t="shared" si="15"/>
        <v>CUARENTA </v>
      </c>
      <c r="L17" s="16" t="str">
        <f t="shared" si="15"/>
        <v>CINCUENTA </v>
      </c>
      <c r="M17" s="16" t="str">
        <f t="shared" si="15"/>
        <v>SESENTA </v>
      </c>
      <c r="N17" s="16" t="str">
        <f t="shared" si="15"/>
        <v>SETENTA </v>
      </c>
      <c r="O17" s="16" t="str">
        <f t="shared" si="15"/>
        <v>OCHENTA </v>
      </c>
      <c r="P17" s="16" t="str">
        <f t="shared" si="15"/>
        <v>NOVENTA </v>
      </c>
      <c r="T17" s="8">
        <v>15</v>
      </c>
      <c r="U17" s="8"/>
      <c r="V17" s="8"/>
      <c r="W17" s="8"/>
      <c r="X17" s="8"/>
      <c r="Y17" s="15" t="str">
        <f>+T38</f>
        <v>DEC BILLON</v>
      </c>
      <c r="Z17" s="15"/>
      <c r="AA17" s="16" t="s">
        <v>62</v>
      </c>
      <c r="AB17" s="16" t="str">
        <f aca="true" t="shared" si="19" ref="AB17:AI17">+AB8&amp;$G$13</f>
        <v>VEINTI</v>
      </c>
      <c r="AC17" s="16" t="str">
        <f t="shared" si="19"/>
        <v>TREINTA </v>
      </c>
      <c r="AD17" s="16" t="str">
        <f t="shared" si="19"/>
        <v>CUARENTA </v>
      </c>
      <c r="AE17" s="16" t="str">
        <f t="shared" si="19"/>
        <v>CINCUENTA </v>
      </c>
      <c r="AF17" s="16" t="str">
        <f t="shared" si="19"/>
        <v>SESENTA </v>
      </c>
      <c r="AG17" s="16" t="str">
        <f t="shared" si="19"/>
        <v>SETENTA </v>
      </c>
      <c r="AH17" s="16" t="str">
        <f t="shared" si="19"/>
        <v>OCHENTA </v>
      </c>
      <c r="AI17" s="16" t="str">
        <f t="shared" si="19"/>
        <v>NOVENTA </v>
      </c>
    </row>
    <row r="18" spans="1:35" ht="15.75" thickBot="1">
      <c r="A18" s="8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T18" s="8">
        <v>16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>
      <c r="A19" s="18">
        <v>17</v>
      </c>
      <c r="B19" s="19"/>
      <c r="C19" s="19"/>
      <c r="D19" s="20"/>
      <c r="E19" s="19"/>
      <c r="F19" s="317" t="e">
        <f>"SON: "&amp;E38&amp;E36&amp;E35&amp;E33&amp;E32&amp;E30&amp;E29&amp;E27&amp;E26&amp;" CON "&amp;B24&amp;B23&amp;"/100 NUEVOS SOLES"</f>
        <v>#REF!</v>
      </c>
      <c r="G19" s="317"/>
      <c r="H19" s="317"/>
      <c r="I19" s="318"/>
      <c r="J19" s="8"/>
      <c r="K19" s="8"/>
      <c r="L19" s="8"/>
      <c r="M19" s="8"/>
      <c r="N19" s="8"/>
      <c r="O19" s="8"/>
      <c r="P19" s="8"/>
      <c r="T19" s="18">
        <v>17</v>
      </c>
      <c r="U19" s="19"/>
      <c r="V19" s="19"/>
      <c r="W19" s="20"/>
      <c r="X19" s="19"/>
      <c r="Y19" s="317" t="str">
        <f>"SON: "&amp;X38&amp;X36&amp;X35&amp;X33&amp;X32&amp;X30&amp;X29&amp;X27&amp;X26&amp;" CON "&amp;U24&amp;U23&amp;"/100 NUEVOS SOLES"</f>
        <v>SON: TREINTA Y CUATRO  MIL CIENTO SETENTA Y NUEVE  CON 99/100 NUEVOS SOLES</v>
      </c>
      <c r="Z19" s="317"/>
      <c r="AA19" s="317"/>
      <c r="AB19" s="318"/>
      <c r="AC19" s="8"/>
      <c r="AD19" s="8"/>
      <c r="AE19" s="8"/>
      <c r="AF19" s="8"/>
      <c r="AG19" s="8"/>
      <c r="AH19" s="8"/>
      <c r="AI19" s="8"/>
    </row>
    <row r="20" spans="1:35" ht="21">
      <c r="A20" s="21"/>
      <c r="B20" s="22"/>
      <c r="C20" s="23" t="s">
        <v>83</v>
      </c>
      <c r="D20" s="24"/>
      <c r="E20" s="22"/>
      <c r="F20" s="319"/>
      <c r="G20" s="319"/>
      <c r="H20" s="319"/>
      <c r="I20" s="320"/>
      <c r="J20" s="8"/>
      <c r="K20" s="8"/>
      <c r="L20" s="8"/>
      <c r="M20" s="8"/>
      <c r="N20" s="8"/>
      <c r="O20" s="8"/>
      <c r="P20" s="8"/>
      <c r="T20" s="21"/>
      <c r="U20" s="22"/>
      <c r="V20" s="23" t="s">
        <v>122</v>
      </c>
      <c r="W20" s="24"/>
      <c r="X20" s="22"/>
      <c r="Y20" s="319"/>
      <c r="Z20" s="319"/>
      <c r="AA20" s="319"/>
      <c r="AB20" s="320"/>
      <c r="AC20" s="8"/>
      <c r="AD20" s="8"/>
      <c r="AE20" s="8"/>
      <c r="AF20" s="8"/>
      <c r="AG20" s="8"/>
      <c r="AH20" s="8"/>
      <c r="AI20" s="8"/>
    </row>
    <row r="21" spans="1:35" ht="15">
      <c r="A21" s="21" t="s">
        <v>84</v>
      </c>
      <c r="B21" s="22"/>
      <c r="C21" s="41" t="e">
        <f>+FIXED('RESUMEN VAL'!#REF!,2,TRUE)</f>
        <v>#REF!</v>
      </c>
      <c r="D21" s="25"/>
      <c r="E21" s="22"/>
      <c r="F21" s="319"/>
      <c r="G21" s="319"/>
      <c r="H21" s="319"/>
      <c r="I21" s="320"/>
      <c r="J21" s="8"/>
      <c r="K21" s="8"/>
      <c r="L21" s="8"/>
      <c r="M21" s="8"/>
      <c r="N21" s="8"/>
      <c r="O21" s="8"/>
      <c r="P21" s="8"/>
      <c r="T21" s="21" t="s">
        <v>84</v>
      </c>
      <c r="U21" s="22"/>
      <c r="V21" s="41" t="str">
        <f>+FIXED('RESUMEN VAL'!J39,2,TRUE)</f>
        <v>34179.99</v>
      </c>
      <c r="W21" s="25"/>
      <c r="X21" s="22"/>
      <c r="Y21" s="319"/>
      <c r="Z21" s="319"/>
      <c r="AA21" s="319"/>
      <c r="AB21" s="320"/>
      <c r="AC21" s="8"/>
      <c r="AD21" s="8"/>
      <c r="AE21" s="8"/>
      <c r="AF21" s="8"/>
      <c r="AG21" s="8"/>
      <c r="AH21" s="8"/>
      <c r="AI21" s="8"/>
    </row>
    <row r="22" spans="1:35" ht="15.75" thickBot="1">
      <c r="A22" s="21" t="s">
        <v>85</v>
      </c>
      <c r="B22" s="26" t="e">
        <f>+LEN(C21)</f>
        <v>#REF!</v>
      </c>
      <c r="C22" s="22"/>
      <c r="D22" s="22"/>
      <c r="E22" s="22"/>
      <c r="F22" s="319"/>
      <c r="G22" s="319"/>
      <c r="H22" s="319"/>
      <c r="I22" s="320"/>
      <c r="J22" s="8"/>
      <c r="K22" s="8"/>
      <c r="L22" s="8"/>
      <c r="M22" s="8"/>
      <c r="N22" s="8"/>
      <c r="O22" s="8"/>
      <c r="P22" s="8"/>
      <c r="T22" s="21" t="s">
        <v>85</v>
      </c>
      <c r="U22" s="26">
        <f>+LEN(V21)</f>
        <v>8</v>
      </c>
      <c r="V22" s="22"/>
      <c r="W22" s="22"/>
      <c r="X22" s="22"/>
      <c r="Y22" s="319"/>
      <c r="Z22" s="319"/>
      <c r="AA22" s="319"/>
      <c r="AB22" s="320"/>
      <c r="AC22" s="8"/>
      <c r="AD22" s="8"/>
      <c r="AE22" s="8"/>
      <c r="AF22" s="8"/>
      <c r="AG22" s="8"/>
      <c r="AH22" s="8"/>
      <c r="AI22" s="8"/>
    </row>
    <row r="23" spans="1:35" ht="15">
      <c r="A23" s="27" t="s">
        <v>86</v>
      </c>
      <c r="B23" s="28" t="e">
        <f>+IF(A3&lt;=$B$22,MID($C$21,$B$22-A3+1,1)*1,)</f>
        <v>#REF!</v>
      </c>
      <c r="C23" s="28"/>
      <c r="D23" s="19"/>
      <c r="E23" s="29"/>
      <c r="F23" s="22"/>
      <c r="G23" s="22"/>
      <c r="H23" s="22"/>
      <c r="I23" s="30"/>
      <c r="J23" s="8"/>
      <c r="K23" s="8"/>
      <c r="L23" s="8"/>
      <c r="M23" s="8"/>
      <c r="N23" s="8"/>
      <c r="O23" s="8"/>
      <c r="P23" s="8"/>
      <c r="T23" s="27" t="s">
        <v>86</v>
      </c>
      <c r="U23" s="28">
        <f>+IF(T3&lt;=$U$22,MID($V$21,$U$22-T3+1,1)*1,)</f>
        <v>9</v>
      </c>
      <c r="V23" s="28"/>
      <c r="W23" s="19"/>
      <c r="X23" s="29"/>
      <c r="Y23" s="22"/>
      <c r="Z23" s="22"/>
      <c r="AA23" s="22"/>
      <c r="AB23" s="30"/>
      <c r="AC23" s="8"/>
      <c r="AD23" s="8"/>
      <c r="AE23" s="8"/>
      <c r="AF23" s="8"/>
      <c r="AG23" s="8"/>
      <c r="AH23" s="8"/>
      <c r="AI23" s="8"/>
    </row>
    <row r="24" spans="1:35" ht="15.75" thickBot="1">
      <c r="A24" s="27" t="s">
        <v>87</v>
      </c>
      <c r="B24" s="31" t="e">
        <f>+IF(A4&lt;=$B$22,MID($C$21,$B$22-A4+1,1)*1,)</f>
        <v>#REF!</v>
      </c>
      <c r="C24" s="31"/>
      <c r="D24" s="32"/>
      <c r="E24" s="33"/>
      <c r="F24" s="22"/>
      <c r="G24" s="22"/>
      <c r="H24" s="22"/>
      <c r="I24" s="30"/>
      <c r="J24" s="8"/>
      <c r="K24" s="8"/>
      <c r="L24" s="8"/>
      <c r="M24" s="8"/>
      <c r="N24" s="8"/>
      <c r="O24" s="8"/>
      <c r="P24" s="8"/>
      <c r="T24" s="44" t="s">
        <v>87</v>
      </c>
      <c r="U24" s="34">
        <f>+IF(T4&lt;=$U$22,MID($V$21,$U$22-T4+1,1)*1,)</f>
        <v>9</v>
      </c>
      <c r="V24" s="34"/>
      <c r="W24" s="22"/>
      <c r="X24" s="35"/>
      <c r="Y24" s="22"/>
      <c r="Z24" s="22"/>
      <c r="AA24" s="22"/>
      <c r="AB24" s="30"/>
      <c r="AC24" s="8"/>
      <c r="AD24" s="8"/>
      <c r="AE24" s="8"/>
      <c r="AF24" s="8"/>
      <c r="AG24" s="8"/>
      <c r="AH24" s="8"/>
      <c r="AI24" s="8"/>
    </row>
    <row r="25" spans="1:35" ht="15">
      <c r="A25" s="27" t="s">
        <v>16</v>
      </c>
      <c r="B25" s="28" t="e">
        <f>+IF(A6&lt;=$B$22,MID($C$21,$B$22-A6+1,1)*1,)</f>
        <v>#REF!</v>
      </c>
      <c r="C25" s="28" t="e">
        <f>+HLOOKUP(B25,$F$2:$P$17,MATCH(A25,$F$2:$F$17,0),FALSE)</f>
        <v>#REF!</v>
      </c>
      <c r="D25" s="19" t="e">
        <f>+IF(B26=0,C25,IF(B25=0,"","Y "&amp;C25))</f>
        <v>#REF!</v>
      </c>
      <c r="E25" s="29"/>
      <c r="F25" s="22"/>
      <c r="G25" s="22"/>
      <c r="H25" s="22"/>
      <c r="I25" s="30">
        <v>0</v>
      </c>
      <c r="J25" s="8" t="s">
        <v>61</v>
      </c>
      <c r="K25" s="8" t="s">
        <v>88</v>
      </c>
      <c r="L25" s="8"/>
      <c r="M25" s="8"/>
      <c r="N25" s="8"/>
      <c r="O25" s="8"/>
      <c r="P25" s="8"/>
      <c r="T25" s="45" t="s">
        <v>16</v>
      </c>
      <c r="U25" s="46">
        <f>+IF(T6&lt;=$U$22,MID($V$21,$U$22-T6+1,1)*1,)</f>
        <v>9</v>
      </c>
      <c r="V25" s="46" t="str">
        <f>+HLOOKUP(U25,$F$2:$P$17,MATCH(T25,$F$2:$F$17,0),FALSE)</f>
        <v>NUEVE </v>
      </c>
      <c r="W25" s="47" t="str">
        <f>+IF(U26=0,V25,IF(U25=0,"","Y "&amp;V25))</f>
        <v>Y NUEVE </v>
      </c>
      <c r="X25" s="48"/>
      <c r="Y25" s="22"/>
      <c r="Z25" s="22"/>
      <c r="AA25" s="22"/>
      <c r="AB25" s="30">
        <v>0</v>
      </c>
      <c r="AC25" s="8" t="s">
        <v>61</v>
      </c>
      <c r="AD25" s="8" t="s">
        <v>88</v>
      </c>
      <c r="AE25" s="8"/>
      <c r="AF25" s="8"/>
      <c r="AG25" s="8"/>
      <c r="AH25" s="8"/>
      <c r="AI25" s="8"/>
    </row>
    <row r="26" spans="1:35" ht="15">
      <c r="A26" s="27" t="s">
        <v>89</v>
      </c>
      <c r="B26" s="34" t="e">
        <f aca="true" t="shared" si="20" ref="B26:B38">+IF(A7&lt;=$B$22,MID($C$21,$B$22-A7+1,1)*1,)</f>
        <v>#REF!</v>
      </c>
      <c r="C26" s="34" t="e">
        <f aca="true" t="shared" si="21" ref="C26:C38">+HLOOKUP(B26,$F$2:$P$17,MATCH(A26,$F$2:$F$17,0),FALSE)</f>
        <v>#REF!</v>
      </c>
      <c r="D26" s="22" t="e">
        <f>+IF(0=B26,"",C26)</f>
        <v>#REF!</v>
      </c>
      <c r="E26" s="35" t="e">
        <f>+IF(AND(B25=0,B26=0),"",IF(B26=1,VLOOKUP(B25,$I$25:$K$34,2),IF(B26=2,VLOOKUP(B25,$I$25:$K$34,3),D26&amp;D25)))</f>
        <v>#REF!</v>
      </c>
      <c r="F26" s="36"/>
      <c r="G26" s="36"/>
      <c r="H26" s="22"/>
      <c r="I26" s="35">
        <v>1</v>
      </c>
      <c r="J26" s="37" t="s">
        <v>90</v>
      </c>
      <c r="K26" s="37" t="s">
        <v>91</v>
      </c>
      <c r="L26" s="37"/>
      <c r="M26" s="37"/>
      <c r="N26" s="8"/>
      <c r="O26" s="8"/>
      <c r="P26" s="8"/>
      <c r="T26" s="49" t="s">
        <v>89</v>
      </c>
      <c r="U26" s="34">
        <f aca="true" t="shared" si="22" ref="U26:U38">+IF(T7&lt;=$U$22,MID($V$21,$U$22-T7+1,1)*1,)</f>
        <v>7</v>
      </c>
      <c r="V26" s="34" t="str">
        <f aca="true" t="shared" si="23" ref="V26:V35">+HLOOKUP(U26,$F$2:$P$17,MATCH(T26,$F$2:$F$17,0),FALSE)</f>
        <v>SETENTA </v>
      </c>
      <c r="W26" s="22" t="str">
        <f>+IF(0=U26,"",V26)</f>
        <v>SETENTA </v>
      </c>
      <c r="X26" s="35" t="str">
        <f>+IF(AND(U25=0,U26=0),"",IF(U26=1,VLOOKUP(U25,$I$25:$K$34,2),IF(U26=2,VLOOKUP(U25,$I$25:$K$34,3),W26&amp;W25)))</f>
        <v>SETENTA Y NUEVE </v>
      </c>
      <c r="Y26" s="36"/>
      <c r="Z26" s="36"/>
      <c r="AA26" s="22"/>
      <c r="AB26" s="35">
        <v>1</v>
      </c>
      <c r="AC26" s="37" t="s">
        <v>90</v>
      </c>
      <c r="AD26" s="37" t="s">
        <v>91</v>
      </c>
      <c r="AE26" s="37"/>
      <c r="AF26" s="37"/>
      <c r="AG26" s="8"/>
      <c r="AH26" s="8"/>
      <c r="AI26" s="8"/>
    </row>
    <row r="27" spans="1:35" ht="15">
      <c r="A27" s="27" t="s">
        <v>92</v>
      </c>
      <c r="B27" s="34" t="e">
        <f t="shared" si="20"/>
        <v>#REF!</v>
      </c>
      <c r="C27" s="34" t="e">
        <f t="shared" si="21"/>
        <v>#REF!</v>
      </c>
      <c r="D27" s="22"/>
      <c r="E27" s="30" t="e">
        <f>+IF(0=B27,"",C27)</f>
        <v>#REF!</v>
      </c>
      <c r="F27" s="22"/>
      <c r="G27" s="22"/>
      <c r="H27" s="22"/>
      <c r="I27" s="30">
        <v>2</v>
      </c>
      <c r="J27" s="8" t="s">
        <v>93</v>
      </c>
      <c r="K27" s="8" t="s">
        <v>94</v>
      </c>
      <c r="L27" s="8"/>
      <c r="M27" s="8"/>
      <c r="N27" s="8"/>
      <c r="O27" s="8"/>
      <c r="P27" s="8"/>
      <c r="T27" s="49" t="s">
        <v>92</v>
      </c>
      <c r="U27" s="34">
        <f t="shared" si="22"/>
        <v>1</v>
      </c>
      <c r="V27" s="34" t="str">
        <f t="shared" si="23"/>
        <v>CIENTO </v>
      </c>
      <c r="W27" s="22"/>
      <c r="X27" s="30" t="str">
        <f>+IF(0=U27,"",V27)</f>
        <v>CIENTO </v>
      </c>
      <c r="Y27" s="22"/>
      <c r="Z27" s="22"/>
      <c r="AA27" s="22"/>
      <c r="AB27" s="30">
        <v>2</v>
      </c>
      <c r="AC27" s="8" t="s">
        <v>93</v>
      </c>
      <c r="AD27" s="8" t="s">
        <v>94</v>
      </c>
      <c r="AE27" s="8"/>
      <c r="AF27" s="8"/>
      <c r="AG27" s="8"/>
      <c r="AH27" s="8"/>
      <c r="AI27" s="8"/>
    </row>
    <row r="28" spans="1:35" ht="15">
      <c r="A28" s="27" t="s">
        <v>95</v>
      </c>
      <c r="B28" s="34" t="e">
        <f t="shared" si="20"/>
        <v>#REF!</v>
      </c>
      <c r="C28" s="34" t="e">
        <f t="shared" si="21"/>
        <v>#REF!</v>
      </c>
      <c r="D28" s="22" t="e">
        <f>+IF(0&lt;&gt;B29,"Y "&amp;C28,C28)</f>
        <v>#REF!</v>
      </c>
      <c r="E28" s="30"/>
      <c r="F28" s="22"/>
      <c r="G28" s="36"/>
      <c r="H28" s="22"/>
      <c r="I28" s="30">
        <v>3</v>
      </c>
      <c r="J28" s="8" t="s">
        <v>96</v>
      </c>
      <c r="K28" s="8" t="s">
        <v>97</v>
      </c>
      <c r="L28" s="8"/>
      <c r="M28" s="8"/>
      <c r="N28" s="8"/>
      <c r="O28" s="8"/>
      <c r="P28" s="8"/>
      <c r="T28" s="49" t="s">
        <v>95</v>
      </c>
      <c r="U28" s="34">
        <f t="shared" si="22"/>
        <v>4</v>
      </c>
      <c r="V28" s="34" t="str">
        <f t="shared" si="23"/>
        <v>CUATRO  </v>
      </c>
      <c r="W28" s="22" t="str">
        <f>+IF(0&lt;&gt;U29,"Y "&amp;V28,V28)</f>
        <v>Y CUATRO  </v>
      </c>
      <c r="X28" s="30"/>
      <c r="Y28" s="22"/>
      <c r="Z28" s="36"/>
      <c r="AA28" s="22"/>
      <c r="AB28" s="30">
        <v>3</v>
      </c>
      <c r="AC28" s="8" t="s">
        <v>96</v>
      </c>
      <c r="AD28" s="8" t="s">
        <v>97</v>
      </c>
      <c r="AE28" s="8"/>
      <c r="AF28" s="8"/>
      <c r="AG28" s="8"/>
      <c r="AH28" s="8"/>
      <c r="AI28" s="8"/>
    </row>
    <row r="29" spans="1:35" ht="15">
      <c r="A29" s="27" t="s">
        <v>98</v>
      </c>
      <c r="B29" s="34" t="e">
        <f t="shared" si="20"/>
        <v>#REF!</v>
      </c>
      <c r="C29" s="34" t="e">
        <f t="shared" si="21"/>
        <v>#REF!</v>
      </c>
      <c r="D29" s="22" t="e">
        <f>+IF(0=B29,"",C29)</f>
        <v>#REF!</v>
      </c>
      <c r="E29" s="35" t="e">
        <f>+IF(AND(B28=0,B29=0),"",IF(B29=1,VLOOKUP(B28,$I$25:$K$34,2)&amp;"MIL ",IF(B29=2,VLOOKUP(B28,$I$25:$K$34,3)&amp;"MIL ",D29&amp;D28&amp;"MIL ")))</f>
        <v>#REF!</v>
      </c>
      <c r="F29" s="22"/>
      <c r="G29" s="22"/>
      <c r="H29" s="22"/>
      <c r="I29" s="30">
        <v>4</v>
      </c>
      <c r="J29" s="8" t="s">
        <v>99</v>
      </c>
      <c r="K29" s="8" t="s">
        <v>100</v>
      </c>
      <c r="L29" s="8"/>
      <c r="M29" s="8"/>
      <c r="N29" s="8"/>
      <c r="O29" s="8"/>
      <c r="P29" s="8"/>
      <c r="T29" s="49" t="s">
        <v>98</v>
      </c>
      <c r="U29" s="34">
        <f t="shared" si="22"/>
        <v>3</v>
      </c>
      <c r="V29" s="34" t="str">
        <f t="shared" si="23"/>
        <v>TREINTA </v>
      </c>
      <c r="W29" s="22" t="str">
        <f>+IF(0=U29,"",V29)</f>
        <v>TREINTA </v>
      </c>
      <c r="X29" s="35" t="str">
        <f>+IF(AND(U28=0,U29=0),"",IF(U29=1,VLOOKUP(U28,$I$25:$K$34,2)&amp;"MIL ",IF(U29=2,VLOOKUP(U28,$I$25:$K$34,3)&amp;"MIL ",W29&amp;W28&amp;"MIL ")))</f>
        <v>TREINTA Y CUATRO  MIL </v>
      </c>
      <c r="Y29" s="22"/>
      <c r="Z29" s="22"/>
      <c r="AA29" s="22"/>
      <c r="AB29" s="30">
        <v>4</v>
      </c>
      <c r="AC29" s="8" t="s">
        <v>99</v>
      </c>
      <c r="AD29" s="8" t="s">
        <v>100</v>
      </c>
      <c r="AE29" s="8"/>
      <c r="AF29" s="8"/>
      <c r="AG29" s="8"/>
      <c r="AH29" s="8"/>
      <c r="AI29" s="8"/>
    </row>
    <row r="30" spans="1:35" ht="15">
      <c r="A30" s="27" t="s">
        <v>101</v>
      </c>
      <c r="B30" s="34" t="e">
        <f t="shared" si="20"/>
        <v>#REF!</v>
      </c>
      <c r="C30" s="34" t="e">
        <f t="shared" si="21"/>
        <v>#REF!</v>
      </c>
      <c r="D30" s="22"/>
      <c r="E30" s="30" t="e">
        <f>+IF(0=B30,"",C30)</f>
        <v>#REF!</v>
      </c>
      <c r="F30" s="22"/>
      <c r="G30" s="22"/>
      <c r="H30" s="22"/>
      <c r="I30" s="30">
        <v>5</v>
      </c>
      <c r="J30" s="8" t="s">
        <v>102</v>
      </c>
      <c r="K30" s="8" t="s">
        <v>103</v>
      </c>
      <c r="L30" s="8"/>
      <c r="M30" s="8"/>
      <c r="N30" s="8"/>
      <c r="O30" s="8"/>
      <c r="P30" s="8"/>
      <c r="T30" s="49" t="s">
        <v>101</v>
      </c>
      <c r="U30" s="34">
        <f t="shared" si="22"/>
        <v>0</v>
      </c>
      <c r="V30" s="34" t="str">
        <f t="shared" si="23"/>
        <v>CIEN  </v>
      </c>
      <c r="W30" s="22"/>
      <c r="X30" s="30">
        <f>+IF(0=U30,"",V30)</f>
      </c>
      <c r="Y30" s="22"/>
      <c r="Z30" s="22"/>
      <c r="AA30" s="22"/>
      <c r="AB30" s="30">
        <v>5</v>
      </c>
      <c r="AC30" s="8" t="s">
        <v>102</v>
      </c>
      <c r="AD30" s="8" t="s">
        <v>103</v>
      </c>
      <c r="AE30" s="8"/>
      <c r="AF30" s="8"/>
      <c r="AG30" s="8"/>
      <c r="AH30" s="8"/>
      <c r="AI30" s="8"/>
    </row>
    <row r="31" spans="1:35" ht="15">
      <c r="A31" s="27" t="s">
        <v>104</v>
      </c>
      <c r="B31" s="34" t="e">
        <f t="shared" si="20"/>
        <v>#REF!</v>
      </c>
      <c r="C31" s="34" t="e">
        <f t="shared" si="21"/>
        <v>#REF!</v>
      </c>
      <c r="D31" s="22" t="e">
        <f>+IF(B32=0,IF(B31=0,"",C31),IF(B31=0," "," Y "&amp;C31))</f>
        <v>#REF!</v>
      </c>
      <c r="E31" s="30"/>
      <c r="F31" s="22"/>
      <c r="G31" s="22"/>
      <c r="H31" s="22"/>
      <c r="I31" s="30">
        <v>6</v>
      </c>
      <c r="J31" s="8" t="s">
        <v>105</v>
      </c>
      <c r="K31" s="8" t="s">
        <v>106</v>
      </c>
      <c r="L31" s="8"/>
      <c r="M31" s="8"/>
      <c r="N31" s="8"/>
      <c r="O31" s="8"/>
      <c r="P31" s="8"/>
      <c r="T31" s="49" t="s">
        <v>104</v>
      </c>
      <c r="U31" s="34">
        <f t="shared" si="22"/>
        <v>0</v>
      </c>
      <c r="V31" s="34">
        <f t="shared" si="23"/>
        <v>0</v>
      </c>
      <c r="W31" s="22">
        <f>+IF(U32=0,IF(U31=0,"",V31),IF(U31=0," "," Y "&amp;V31))</f>
      </c>
      <c r="X31" s="30"/>
      <c r="Y31" s="22"/>
      <c r="Z31" s="22"/>
      <c r="AA31" s="22"/>
      <c r="AB31" s="30">
        <v>6</v>
      </c>
      <c r="AC31" s="8" t="s">
        <v>105</v>
      </c>
      <c r="AD31" s="8" t="s">
        <v>106</v>
      </c>
      <c r="AE31" s="8"/>
      <c r="AF31" s="8"/>
      <c r="AG31" s="8"/>
      <c r="AH31" s="8"/>
      <c r="AI31" s="8"/>
    </row>
    <row r="32" spans="1:35" ht="15">
      <c r="A32" s="27" t="s">
        <v>107</v>
      </c>
      <c r="B32" s="34" t="e">
        <f t="shared" si="20"/>
        <v>#REF!</v>
      </c>
      <c r="C32" s="34" t="e">
        <f t="shared" si="21"/>
        <v>#REF!</v>
      </c>
      <c r="D32" s="22" t="e">
        <f>+IF(0=B32,"",C32)</f>
        <v>#REF!</v>
      </c>
      <c r="E32" s="35" t="e">
        <f>+IF(AND(B31=0,B32=0),"",IF(B32=1,VLOOKUP(B31,$I$25:$K$34,2)&amp;"MILLLONES ",IF(B32=2,VLOOKUP(B31,$I$25:$K$34,3)&amp;"MILLLONES ",IF(AND(B32=0,B31=1),D31&amp;" MILLON ",D32&amp;D31&amp;"MILLONES "))))</f>
        <v>#REF!</v>
      </c>
      <c r="F32" s="22"/>
      <c r="G32" s="38" t="e">
        <f>+C21</f>
        <v>#REF!</v>
      </c>
      <c r="H32" s="22"/>
      <c r="I32" s="30">
        <v>7</v>
      </c>
      <c r="J32" s="8" t="s">
        <v>108</v>
      </c>
      <c r="K32" s="8" t="s">
        <v>109</v>
      </c>
      <c r="L32" s="8"/>
      <c r="M32" s="8"/>
      <c r="N32" s="8"/>
      <c r="O32" s="8"/>
      <c r="P32" s="8"/>
      <c r="T32" s="49" t="s">
        <v>107</v>
      </c>
      <c r="U32" s="34">
        <f t="shared" si="22"/>
        <v>0</v>
      </c>
      <c r="V32" s="34" t="str">
        <f t="shared" si="23"/>
        <v>DIEZ ES</v>
      </c>
      <c r="W32" s="22">
        <f>+IF(0=U32,"",V32)</f>
      </c>
      <c r="X32" s="35">
        <f>+IF(AND(U31=0,U32=0),"",IF(U32=1,VLOOKUP(U31,$I$25:$K$34,2)&amp;"MILLLONES ",IF(U32=2,VLOOKUP(U31,$I$25:$K$34,3)&amp;"MILLLONES ",IF(AND(U32=0,U31=1),W31&amp;" MILLON ",W32&amp;W31&amp;"MILLONES "))))</f>
      </c>
      <c r="Y32" s="22"/>
      <c r="Z32" s="43" t="str">
        <f>+V21</f>
        <v>34179.99</v>
      </c>
      <c r="AA32" s="22"/>
      <c r="AB32" s="30">
        <v>7</v>
      </c>
      <c r="AC32" s="8" t="s">
        <v>108</v>
      </c>
      <c r="AD32" s="8" t="s">
        <v>109</v>
      </c>
      <c r="AE32" s="8"/>
      <c r="AF32" s="8"/>
      <c r="AG32" s="8"/>
      <c r="AH32" s="8"/>
      <c r="AI32" s="8"/>
    </row>
    <row r="33" spans="1:35" ht="15">
      <c r="A33" s="27" t="s">
        <v>110</v>
      </c>
      <c r="B33" s="34" t="e">
        <f t="shared" si="20"/>
        <v>#REF!</v>
      </c>
      <c r="C33" s="34" t="e">
        <f t="shared" si="21"/>
        <v>#REF!</v>
      </c>
      <c r="D33" s="22"/>
      <c r="E33" s="30" t="e">
        <f>+IF(0=B33,"",C33)</f>
        <v>#REF!</v>
      </c>
      <c r="F33" s="22"/>
      <c r="G33" s="22"/>
      <c r="H33" s="22"/>
      <c r="I33" s="30">
        <v>8</v>
      </c>
      <c r="J33" s="8" t="s">
        <v>111</v>
      </c>
      <c r="K33" s="8" t="s">
        <v>112</v>
      </c>
      <c r="L33" s="8"/>
      <c r="M33" s="8"/>
      <c r="N33" s="8"/>
      <c r="O33" s="8"/>
      <c r="P33" s="8"/>
      <c r="T33" s="49" t="s">
        <v>110</v>
      </c>
      <c r="U33" s="34">
        <f t="shared" si="22"/>
        <v>0</v>
      </c>
      <c r="V33" s="34">
        <f t="shared" si="23"/>
        <v>0</v>
      </c>
      <c r="W33" s="22"/>
      <c r="X33" s="30">
        <f>+IF(0=U33,"",V33)</f>
      </c>
      <c r="Y33" s="22"/>
      <c r="Z33" s="22"/>
      <c r="AA33" s="22"/>
      <c r="AB33" s="30">
        <v>8</v>
      </c>
      <c r="AC33" s="8" t="s">
        <v>111</v>
      </c>
      <c r="AD33" s="8" t="s">
        <v>112</v>
      </c>
      <c r="AE33" s="8"/>
      <c r="AF33" s="8"/>
      <c r="AG33" s="8"/>
      <c r="AH33" s="8"/>
      <c r="AI33" s="8"/>
    </row>
    <row r="34" spans="1:35" ht="15">
      <c r="A34" s="27" t="s">
        <v>113</v>
      </c>
      <c r="B34" s="34" t="e">
        <f t="shared" si="20"/>
        <v>#REF!</v>
      </c>
      <c r="C34" s="34" t="e">
        <f t="shared" si="21"/>
        <v>#REF!</v>
      </c>
      <c r="D34" s="22" t="e">
        <f>+IF(B35=0,IF(B34=0,"",C34),IF(B34=0," "," Y "&amp;C34))</f>
        <v>#REF!</v>
      </c>
      <c r="E34" s="30"/>
      <c r="F34" s="22"/>
      <c r="G34" s="38"/>
      <c r="H34" s="22"/>
      <c r="I34" s="30">
        <v>9</v>
      </c>
      <c r="J34" s="8" t="s">
        <v>114</v>
      </c>
      <c r="K34" s="8" t="s">
        <v>115</v>
      </c>
      <c r="L34" s="8"/>
      <c r="M34" s="8"/>
      <c r="N34" s="8"/>
      <c r="O34" s="8"/>
      <c r="P34" s="8"/>
      <c r="T34" s="49" t="s">
        <v>113</v>
      </c>
      <c r="U34" s="34">
        <f t="shared" si="22"/>
        <v>0</v>
      </c>
      <c r="V34" s="34">
        <f t="shared" si="23"/>
        <v>0</v>
      </c>
      <c r="W34" s="22">
        <f>+IF(U35=0,IF(U34=0,"",V34),IF(U34=0," "," Y "&amp;V34))</f>
      </c>
      <c r="X34" s="30"/>
      <c r="Y34" s="22"/>
      <c r="Z34" s="38"/>
      <c r="AA34" s="22"/>
      <c r="AB34" s="30">
        <v>9</v>
      </c>
      <c r="AC34" s="8" t="s">
        <v>114</v>
      </c>
      <c r="AD34" s="8" t="s">
        <v>115</v>
      </c>
      <c r="AE34" s="8"/>
      <c r="AF34" s="8"/>
      <c r="AG34" s="8"/>
      <c r="AH34" s="8"/>
      <c r="AI34" s="8"/>
    </row>
    <row r="35" spans="1:35" ht="15">
      <c r="A35" s="27" t="s">
        <v>116</v>
      </c>
      <c r="B35" s="34" t="e">
        <f t="shared" si="20"/>
        <v>#REF!</v>
      </c>
      <c r="C35" s="34" t="e">
        <f t="shared" si="21"/>
        <v>#REF!</v>
      </c>
      <c r="D35" s="22" t="e">
        <f>+IF(0=B35,"",C35)</f>
        <v>#REF!</v>
      </c>
      <c r="E35" s="35" t="e">
        <f>+IF(AND(B34=0,B35=0),"",IF(B35=1,VLOOKUP(B34,$I$25:$K$34,2)&amp;"MIL ",IF(B35=2,VLOOKUP(B34,$I$25:$K$34,3)&amp;"MIL ",D35&amp;D34&amp;"MIL ")))</f>
        <v>#REF!</v>
      </c>
      <c r="F35" s="22"/>
      <c r="G35" s="22"/>
      <c r="H35" s="22"/>
      <c r="I35" s="30"/>
      <c r="J35" s="8"/>
      <c r="K35" s="8"/>
      <c r="L35" s="8"/>
      <c r="M35" s="8"/>
      <c r="N35" s="8"/>
      <c r="O35" s="8"/>
      <c r="P35" s="8"/>
      <c r="T35" s="49" t="s">
        <v>116</v>
      </c>
      <c r="U35" s="34">
        <f t="shared" si="22"/>
        <v>0</v>
      </c>
      <c r="V35" s="34">
        <f t="shared" si="23"/>
        <v>0</v>
      </c>
      <c r="W35" s="22">
        <f>+IF(0=U35,"",V35)</f>
      </c>
      <c r="X35" s="35">
        <f>+IF(AND(U34=0,U35=0),"",IF(U35=1,VLOOKUP(U34,$I$25:$K$34,2)&amp;"MIL ",IF(U35=2,VLOOKUP(U34,$I$25:$K$34,3)&amp;"MIL ",W35&amp;W34&amp;"MIL ")))</f>
      </c>
      <c r="Y35" s="22"/>
      <c r="Z35" s="22"/>
      <c r="AA35" s="22"/>
      <c r="AB35" s="30"/>
      <c r="AC35" s="8"/>
      <c r="AD35" s="8"/>
      <c r="AE35" s="8"/>
      <c r="AF35" s="8"/>
      <c r="AG35" s="8"/>
      <c r="AH35" s="8"/>
      <c r="AI35" s="8"/>
    </row>
    <row r="36" spans="1:35" ht="15">
      <c r="A36" s="27" t="s">
        <v>117</v>
      </c>
      <c r="B36" s="34" t="e">
        <f t="shared" si="20"/>
        <v>#REF!</v>
      </c>
      <c r="C36" s="34" t="e">
        <f>+HLOOKUP(B36,$F$2:$P$17,MATCH(A36,$F$2:$F$17,0),FALSE)</f>
        <v>#REF!</v>
      </c>
      <c r="D36" s="22"/>
      <c r="E36" s="30" t="e">
        <f>+IF(0=B36,"",C36)</f>
        <v>#REF!</v>
      </c>
      <c r="F36" s="22"/>
      <c r="G36" s="22"/>
      <c r="H36" s="22"/>
      <c r="I36" s="30"/>
      <c r="J36" s="8"/>
      <c r="K36" s="8"/>
      <c r="L36" s="8"/>
      <c r="M36" s="8"/>
      <c r="N36" s="8"/>
      <c r="O36" s="8"/>
      <c r="P36" s="8"/>
      <c r="T36" s="49" t="s">
        <v>117</v>
      </c>
      <c r="U36" s="34">
        <f t="shared" si="22"/>
        <v>0</v>
      </c>
      <c r="V36" s="34" t="str">
        <f>+HLOOKUP(U36,$F$2:$P$17,MATCH(T36,$F$2:$F$17,0),FALSE)</f>
        <v>MIL </v>
      </c>
      <c r="W36" s="22"/>
      <c r="X36" s="30">
        <f>+IF(0=U36,"",V36)</f>
      </c>
      <c r="Y36" s="22"/>
      <c r="Z36" s="22"/>
      <c r="AA36" s="22"/>
      <c r="AB36" s="30"/>
      <c r="AC36" s="8"/>
      <c r="AD36" s="8"/>
      <c r="AE36" s="8"/>
      <c r="AF36" s="8"/>
      <c r="AG36" s="8"/>
      <c r="AH36" s="8"/>
      <c r="AI36" s="8"/>
    </row>
    <row r="37" spans="1:35" ht="15">
      <c r="A37" s="27" t="s">
        <v>118</v>
      </c>
      <c r="B37" s="34" t="e">
        <f t="shared" si="20"/>
        <v>#REF!</v>
      </c>
      <c r="C37" s="34" t="e">
        <f>+HLOOKUP(B37,$F$2:$P$17,MATCH(A37,$F$2:$F$17,0),FALSE)</f>
        <v>#REF!</v>
      </c>
      <c r="D37" s="22" t="e">
        <f>+IF(B38=0,IF(B37=0,"",C37),IF(B37=0," "," Y "&amp;C37))</f>
        <v>#REF!</v>
      </c>
      <c r="E37" s="30"/>
      <c r="F37" s="22"/>
      <c r="G37" s="22"/>
      <c r="H37" s="22"/>
      <c r="I37" s="30"/>
      <c r="J37" s="8"/>
      <c r="K37" s="8"/>
      <c r="L37" s="8"/>
      <c r="M37" s="8"/>
      <c r="N37" s="8"/>
      <c r="O37" s="8"/>
      <c r="P37" s="8"/>
      <c r="T37" s="49" t="s">
        <v>118</v>
      </c>
      <c r="U37" s="34">
        <f t="shared" si="22"/>
        <v>0</v>
      </c>
      <c r="V37" s="34">
        <f>+HLOOKUP(U37,$F$2:$P$17,MATCH(T37,$F$2:$F$17,0),FALSE)</f>
        <v>0</v>
      </c>
      <c r="W37" s="22">
        <f>+IF(U38=0,IF(U37=0,"",V37),IF(U37=0," "," Y "&amp;V37))</f>
      </c>
      <c r="X37" s="30"/>
      <c r="Y37" s="22"/>
      <c r="Z37" s="22"/>
      <c r="AA37" s="22"/>
      <c r="AB37" s="30"/>
      <c r="AC37" s="8"/>
      <c r="AD37" s="8"/>
      <c r="AE37" s="8"/>
      <c r="AF37" s="8"/>
      <c r="AG37" s="8"/>
      <c r="AH37" s="8"/>
      <c r="AI37" s="8"/>
    </row>
    <row r="38" spans="1:35" ht="15.75" thickBot="1">
      <c r="A38" s="39" t="s">
        <v>119</v>
      </c>
      <c r="B38" s="31" t="e">
        <f t="shared" si="20"/>
        <v>#REF!</v>
      </c>
      <c r="C38" s="31" t="e">
        <f t="shared" si="21"/>
        <v>#REF!</v>
      </c>
      <c r="D38" s="32" t="e">
        <f>+IF(0=B38,"",C38)</f>
        <v>#REF!</v>
      </c>
      <c r="E38" s="33" t="e">
        <f>+IF(AND(B37=0,B38=0),"",IF(B38=1,VLOOKUP(B37,$I$25:$K$34,2)&amp;"BILLONES ",IF(B38=2,VLOOKUP(B37,$I$25:$K$34,3)&amp;"BILLONES",IF(AND(B38=0,B37=1),D37&amp;" BILLON ",D38&amp;D37&amp;"BILLONES "))))</f>
        <v>#REF!</v>
      </c>
      <c r="F38" s="32"/>
      <c r="G38" s="32"/>
      <c r="H38" s="32"/>
      <c r="I38" s="40"/>
      <c r="J38" s="8"/>
      <c r="K38" s="8"/>
      <c r="L38" s="8"/>
      <c r="M38" s="8"/>
      <c r="N38" s="8"/>
      <c r="O38" s="8"/>
      <c r="P38" s="8"/>
      <c r="T38" s="50" t="s">
        <v>119</v>
      </c>
      <c r="U38" s="51">
        <f t="shared" si="22"/>
        <v>0</v>
      </c>
      <c r="V38" s="51">
        <f>+HLOOKUP(U38,$F$2:$P$17,MATCH(T38,$F$2:$F$17,0),FALSE)</f>
        <v>0</v>
      </c>
      <c r="W38" s="52">
        <f>+IF(0=U38,"",V38)</f>
      </c>
      <c r="X38" s="53">
        <f>+IF(AND(U37=0,U38=0),"",IF(U38=1,VLOOKUP(U37,$I$25:$K$34,2)&amp;"BILLONES ",IF(U38=2,VLOOKUP(U37,$I$25:$K$34,3)&amp;"BILLONES",IF(AND(U38=0,U37=1),W37&amp;" BILLON ",W38&amp;W37&amp;"BILLONES "))))</f>
      </c>
      <c r="Y38" s="32"/>
      <c r="Z38" s="32"/>
      <c r="AA38" s="32"/>
      <c r="AB38" s="40"/>
      <c r="AC38" s="8"/>
      <c r="AD38" s="8"/>
      <c r="AE38" s="8"/>
      <c r="AF38" s="8"/>
      <c r="AG38" s="8"/>
      <c r="AH38" s="8"/>
      <c r="AI38" s="8"/>
    </row>
  </sheetData>
  <sheetProtection/>
  <mergeCells count="6">
    <mergeCell ref="A1:B1"/>
    <mergeCell ref="H1:P1"/>
    <mergeCell ref="F19:I22"/>
    <mergeCell ref="T1:U1"/>
    <mergeCell ref="AA1:AI1"/>
    <mergeCell ref="Y19:AB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uE10</dc:creator>
  <cp:keywords/>
  <dc:description/>
  <cp:lastModifiedBy>Usuario de Windows</cp:lastModifiedBy>
  <cp:lastPrinted>2021-07-14T16:14:46Z</cp:lastPrinted>
  <dcterms:created xsi:type="dcterms:W3CDTF">2009-07-21T03:08:39Z</dcterms:created>
  <dcterms:modified xsi:type="dcterms:W3CDTF">2021-07-14T16:16:10Z</dcterms:modified>
  <cp:category/>
  <cp:version/>
  <cp:contentType/>
  <cp:contentStatus/>
</cp:coreProperties>
</file>