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VALORIZ. 04 EL VERDE\"/>
    </mc:Choice>
  </mc:AlternateContent>
  <bookViews>
    <workbookView xWindow="9375" yWindow="180" windowWidth="10065" windowHeight="7980" tabRatio="846"/>
  </bookViews>
  <sheets>
    <sheet name="ESTADO FINANC" sheetId="86" r:id="rId1"/>
    <sheet name="IND K" sheetId="48" state="hidden" r:id="rId2"/>
    <sheet name="Amortz. Mat.2" sheetId="74" state="hidden" r:id="rId3"/>
    <sheet name="Ded. Mat.2 " sheetId="75" state="hidden" r:id="rId4"/>
    <sheet name="DEDUCTIVOS" sheetId="69" state="hidden" r:id="rId5"/>
    <sheet name="CAO A.P. Nº 05" sheetId="6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0EL" localSheetId="2">'[1]Unit-op-cartel'!#REF!</definedName>
    <definedName name="_10_0ELECSURE" localSheetId="3">'[1]Unit-op-cartel'!#REF!</definedName>
    <definedName name="_11_0ELECSURE" localSheetId="4">'[1]Unit-op-cartel'!#REF!</definedName>
    <definedName name="_12_0ELECSURE">'[1]Unit-op-cartel'!#REF!</definedName>
    <definedName name="_13_0ELECSURME" localSheetId="2">'[1]Unit-op-cartel'!#REF!</definedName>
    <definedName name="_14_0ELECSURME" localSheetId="3">'[1]Unit-op-cartel'!#REF!</definedName>
    <definedName name="_15_0ELECSURME" localSheetId="4">'[1]Unit-op-cartel'!#REF!</definedName>
    <definedName name="_16_0ELECSURME">'[1]Unit-op-cartel'!#REF!</definedName>
    <definedName name="_17_0ELECT" localSheetId="2">'[1]Unit-op-cartel'!#REF!</definedName>
    <definedName name="_18_0ELECT" localSheetId="3">'[1]Unit-op-cartel'!#REF!</definedName>
    <definedName name="_19_0ELECT" localSheetId="4">'[1]Unit-op-cartel'!#REF!</definedName>
    <definedName name="_2_0EL" localSheetId="3">'[1]Unit-op-cartel'!#REF!</definedName>
    <definedName name="_20_0ELECT">'[1]Unit-op-cartel'!#REF!</definedName>
    <definedName name="_21_0ELECTROL" localSheetId="2">'[1]Unit-op-cartel'!#REF!</definedName>
    <definedName name="_22_0ELECTROL" localSheetId="3">'[1]Unit-op-cartel'!#REF!</definedName>
    <definedName name="_23_0ELECTROL" localSheetId="4">'[1]Unit-op-cartel'!#REF!</definedName>
    <definedName name="_24_0ELECTROL">'[1]Unit-op-cartel'!#REF!</definedName>
    <definedName name="_25_0ELEORIE" localSheetId="2">'[1]Unit-op-cartel'!#REF!</definedName>
    <definedName name="_26_0ELEORIE" localSheetId="3">'[1]Unit-op-cartel'!#REF!</definedName>
    <definedName name="_27_0ELEORIE" localSheetId="4">'[1]Unit-op-cartel'!#REF!</definedName>
    <definedName name="_28_0ELEORIE">'[1]Unit-op-cartel'!#REF!</definedName>
    <definedName name="_29_0ELNO" localSheetId="2">'[1]Unit-op-cartel'!#REF!</definedName>
    <definedName name="_3_0EL" localSheetId="4">'[1]Unit-op-cartel'!#REF!</definedName>
    <definedName name="_30_0ELNO" localSheetId="3">'[1]Unit-op-cartel'!#REF!</definedName>
    <definedName name="_31_0ELNO" localSheetId="4">'[1]Unit-op-cartel'!#REF!</definedName>
    <definedName name="_32_0ELNO">'[1]Unit-op-cartel'!#REF!</definedName>
    <definedName name="_33_0ELSURE" localSheetId="2">'[1]Unit-op-cartel'!#REF!</definedName>
    <definedName name="_34_0ELSURE" localSheetId="3">'[1]Unit-op-cartel'!#REF!</definedName>
    <definedName name="_35_0ELSURE" localSheetId="4">'[1]Unit-op-cartel'!#REF!</definedName>
    <definedName name="_36_0ELSURE">'[1]Unit-op-cartel'!#REF!</definedName>
    <definedName name="_37_0HIDRAND" localSheetId="2">'[1]Unit-op-cartel'!#REF!</definedName>
    <definedName name="_38_0HIDRAND" localSheetId="3">'[1]Unit-op-cartel'!#REF!</definedName>
    <definedName name="_39_0HIDRAND" localSheetId="4">'[1]Unit-op-cartel'!#REF!</definedName>
    <definedName name="_4_0EL">'[1]Unit-op-cartel'!#REF!</definedName>
    <definedName name="_40_0HIDRAND">'[1]Unit-op-cartel'!#REF!</definedName>
    <definedName name="_41_0S" localSheetId="2">'[1]Unit-op-cartel'!#REF!</definedName>
    <definedName name="_42_0S" localSheetId="3">'[1]Unit-op-cartel'!#REF!</definedName>
    <definedName name="_43_0S" localSheetId="4">'[1]Unit-op-cartel'!#REF!</definedName>
    <definedName name="_44_0S">'[1]Unit-op-cartel'!#REF!</definedName>
    <definedName name="_5_0ELCEN" localSheetId="2">'[1]Unit-op-cartel'!#REF!</definedName>
    <definedName name="_6_0ELCEN" localSheetId="3">'[1]Unit-op-cartel'!#REF!</definedName>
    <definedName name="_7_0ELCEN" localSheetId="4">'[1]Unit-op-cartel'!#REF!</definedName>
    <definedName name="_8_0ELCEN">'[1]Unit-op-cartel'!#REF!</definedName>
    <definedName name="_9_0ELECSURE" localSheetId="2">'[1]Unit-op-cartel'!#REF!</definedName>
    <definedName name="_apu0201" localSheetId="5">#REF!</definedName>
    <definedName name="_apu0201">#REF!</definedName>
    <definedName name="_apu0202" localSheetId="5">#REF!</definedName>
    <definedName name="_apu0202">#REF!</definedName>
    <definedName name="_apu0203" localSheetId="5">#REF!</definedName>
    <definedName name="_apu0203">#REF!</definedName>
    <definedName name="_apu02033" localSheetId="5">#REF!</definedName>
    <definedName name="_apu02033">#REF!</definedName>
    <definedName name="_apu0301" localSheetId="5">#REF!</definedName>
    <definedName name="_apu0301">#REF!</definedName>
    <definedName name="_apu0302" localSheetId="5">#REF!</definedName>
    <definedName name="_apu0302">#REF!</definedName>
    <definedName name="_apu0303" localSheetId="5">#REF!</definedName>
    <definedName name="_apu0303">#REF!</definedName>
    <definedName name="_apu0304" localSheetId="5">#REF!</definedName>
    <definedName name="_apu0304">#REF!</definedName>
    <definedName name="_apu0305" localSheetId="5">#REF!</definedName>
    <definedName name="_apu0305">#REF!</definedName>
    <definedName name="_apu0401" localSheetId="5">#REF!</definedName>
    <definedName name="_apu0401">#REF!</definedName>
    <definedName name="_apu0501" localSheetId="5">#REF!</definedName>
    <definedName name="_apu0501">#REF!</definedName>
    <definedName name="_apu0502" localSheetId="5">#REF!</definedName>
    <definedName name="_apu0502">#REF!</definedName>
    <definedName name="_apu0503" localSheetId="5">#REF!</definedName>
    <definedName name="_apu0503">#REF!</definedName>
    <definedName name="_apu0504" localSheetId="5">#REF!</definedName>
    <definedName name="_apu0504">#REF!</definedName>
    <definedName name="_apu0505" localSheetId="5">#REF!</definedName>
    <definedName name="_apu0505">#REF!</definedName>
    <definedName name="_apu0506" localSheetId="5">#REF!</definedName>
    <definedName name="_apu0506">#REF!</definedName>
    <definedName name="_apu0507" localSheetId="5">#REF!</definedName>
    <definedName name="_apu0507">#REF!</definedName>
    <definedName name="_apu0508" localSheetId="5">#REF!</definedName>
    <definedName name="_apu0508">#REF!</definedName>
    <definedName name="_apu0601" localSheetId="5">#REF!</definedName>
    <definedName name="_apu060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RES1" localSheetId="5">#REF!</definedName>
    <definedName name="_RES1">#REF!</definedName>
    <definedName name="_RES2" localSheetId="5">#REF!</definedName>
    <definedName name="_RES2">#REF!</definedName>
    <definedName name="_RES3" localSheetId="5">#REF!</definedName>
    <definedName name="_RES3">#REF!</definedName>
    <definedName name="_RES4" localSheetId="5">#REF!</definedName>
    <definedName name="_RES4">#REF!</definedName>
    <definedName name="_SOL1" localSheetId="5">#REF!</definedName>
    <definedName name="_SOL1">#REF!</definedName>
    <definedName name="_SOL2" localSheetId="5">#REF!</definedName>
    <definedName name="_SOL2">#REF!</definedName>
    <definedName name="_SOL3" localSheetId="5">#REF!</definedName>
    <definedName name="_SOL3">#REF!</definedName>
    <definedName name="_SOL4" localSheetId="5">#REF!</definedName>
    <definedName name="_SOL4">#REF!</definedName>
    <definedName name="_Sort" localSheetId="2" hidden="1">#REF!</definedName>
    <definedName name="_Sort" localSheetId="3" hidden="1">#REF!</definedName>
    <definedName name="_Sort" hidden="1">#REF!</definedName>
    <definedName name="AMOR175" localSheetId="2">[2]Reajustes!#REF!</definedName>
    <definedName name="AMOR175" localSheetId="5">[3]Reajustes!#REF!</definedName>
    <definedName name="AMOR175" localSheetId="3">#REF!</definedName>
    <definedName name="AMOR175" localSheetId="4">#REF!</definedName>
    <definedName name="AMOR175">#REF!</definedName>
    <definedName name="AMOR210" localSheetId="2">[2]Reajustes!$BG$334:$BS$354</definedName>
    <definedName name="AMOR210" localSheetId="5">[3]Reajustes!$BG$334:$BS$354</definedName>
    <definedName name="AMOR210">#REF!</definedName>
    <definedName name="AMORT_TUBO" localSheetId="2">[2]Reajustes!$BG$303:$BS$332</definedName>
    <definedName name="AMORT_TUBO" localSheetId="5">[3]Reajustes!$BG$303:$BS$332</definedName>
    <definedName name="AMORT_TUBO">#REF!</definedName>
    <definedName name="apu_0201" localSheetId="5">#REF!</definedName>
    <definedName name="apu_0201">#REF!</definedName>
    <definedName name="apu_0202" localSheetId="5">#REF!</definedName>
    <definedName name="apu_0202">#REF!</definedName>
    <definedName name="_xlnm.Print_Area" localSheetId="2">'Amortz. Mat.2'!$A$1:$I$126</definedName>
    <definedName name="_xlnm.Print_Area" localSheetId="5">'CAO A.P. Nº 05'!$A$1:$AE$204</definedName>
    <definedName name="_xlnm.Print_Area" localSheetId="3">'Ded. Mat.2 '!$A$1:$M$141</definedName>
    <definedName name="_xlnm.Print_Area" localSheetId="0">'ESTADO FINANC'!$A$1:$L$54</definedName>
    <definedName name="_xlnm.Database" localSheetId="2">#REF!</definedName>
    <definedName name="_xlnm.Database" localSheetId="3">#REF!</definedName>
    <definedName name="_xlnm.Database">#REF!</definedName>
    <definedName name="D">'[1]Unit-op-cartel'!#REF!</definedName>
    <definedName name="DATOS1" localSheetId="2">[4]Presupuesto!#REF!</definedName>
    <definedName name="DATOS1" localSheetId="3">[4]Presupuesto!#REF!</definedName>
    <definedName name="DATOS1" localSheetId="4">[4]Presupuesto!#REF!</definedName>
    <definedName name="DATOS1">[4]Presupuesto!#REF!</definedName>
    <definedName name="DATOS2" localSheetId="2">[4]Presupuesto!#REF!</definedName>
    <definedName name="DATOS2" localSheetId="3">[4]Presupuesto!#REF!</definedName>
    <definedName name="DATOS2" localSheetId="4">[4]Presupuesto!#REF!</definedName>
    <definedName name="DATOS2">[4]Presupuesto!#REF!</definedName>
    <definedName name="DATOS3" localSheetId="2">[4]Presupuesto!#REF!</definedName>
    <definedName name="DATOS3" localSheetId="3">[4]Presupuesto!#REF!</definedName>
    <definedName name="DATOS3" localSheetId="4">[4]Presupuesto!#REF!</definedName>
    <definedName name="DATOS3">[4]Presupuesto!#REF!</definedName>
    <definedName name="DATOS4" localSheetId="2">[4]Presupuesto!#REF!</definedName>
    <definedName name="DATOS4" localSheetId="3">[4]Presupuesto!#REF!</definedName>
    <definedName name="DATOS4" localSheetId="4">[4]Presupuesto!#REF!</definedName>
    <definedName name="DATOS4">[4]Presupuesto!#REF!</definedName>
    <definedName name="DATOS5">[4]Presupuesto!#REF!</definedName>
    <definedName name="DESCRIPCION" localSheetId="5">#REF!</definedName>
    <definedName name="DESCRIPCION">#REF!</definedName>
    <definedName name="DQNC_AFIRMADO" localSheetId="2">[2]Reajustes!$AT$247:$BE$276</definedName>
    <definedName name="DQNC_AFIRMADO" localSheetId="5">[3]Reajustes!$AT$247:$BE$276</definedName>
    <definedName name="DQNC_AFIRMADO">#REF!</definedName>
    <definedName name="DQNC_CEMENTO" localSheetId="2">[2]Reajustes!$AT$279:$BE$301</definedName>
    <definedName name="DQNC_CEMENTO" localSheetId="5">[3]Reajustes!$AT$279:$BE$301</definedName>
    <definedName name="DQNC_CEMENTO">#REF!</definedName>
    <definedName name="DWDDWD">#REF!</definedName>
    <definedName name="FACTURACIONES_SALDO_DE_OBRA_IPC_Lista" localSheetId="2">#REF!</definedName>
    <definedName name="FACTURACIONES_SALDO_DE_OBRA_IPC_Lista" localSheetId="5">#REF!</definedName>
    <definedName name="FACTURACIONES_SALDO_DE_OBRA_IPC_Lista" localSheetId="3">#REF!</definedName>
    <definedName name="FACTURACIONES_SALDO_DE_OBRA_IPC_Lista">#REF!</definedName>
    <definedName name="FR" localSheetId="2">[5]DATOS!$C$23</definedName>
    <definedName name="FR" localSheetId="3">[5]DATOS!$C$23</definedName>
    <definedName name="FR">[5]DATOS!$C$23</definedName>
    <definedName name="HOJA" localSheetId="2">[2]Reajustes!$AN$205:$AR$212</definedName>
    <definedName name="HOJA" localSheetId="5">[3]Reajustes!$AN$205:$AR$212</definedName>
    <definedName name="HOJA">#REF!</definedName>
    <definedName name="INDICE" localSheetId="5">#REF!</definedName>
    <definedName name="INDICE">#REF!</definedName>
    <definedName name="LOCAL" localSheetId="2">[4]Presupuesto!#REF!</definedName>
    <definedName name="LOCAL" localSheetId="3">[4]Presupuesto!#REF!</definedName>
    <definedName name="LOCAL" localSheetId="4">[4]Presupuesto!#REF!</definedName>
    <definedName name="LOCAL">[4]Presupuesto!#REF!</definedName>
    <definedName name="METRADOS" localSheetId="2">[2]Reajustes!#REF!</definedName>
    <definedName name="METRADOS" localSheetId="5">[3]Reajustes!#REF!</definedName>
    <definedName name="METRADOS" localSheetId="3">#REF!</definedName>
    <definedName name="METRADOS" localSheetId="4">#REF!</definedName>
    <definedName name="METRADOS">#REF!</definedName>
    <definedName name="PARTIDA" localSheetId="5">#REF!</definedName>
    <definedName name="PARTIDA">#REF!</definedName>
    <definedName name="POLI" localSheetId="2">[2]Reajustes!$M$41:$U$99</definedName>
    <definedName name="POLI" localSheetId="5">[3]Reajustes!$M$41:$U$99</definedName>
    <definedName name="POLI">#REF!</definedName>
    <definedName name="REAJUSTE" localSheetId="2">[2]Reajustes!$W$131:$AD$170</definedName>
    <definedName name="REAJUSTE" localSheetId="5">[3]Reajustes!$W$131:$AD$170</definedName>
    <definedName name="REAJUSTE">#REF!</definedName>
    <definedName name="RESUMEN" localSheetId="2">[2]Reajustes!$AF$172:$AL$204</definedName>
    <definedName name="RESUMEN" localSheetId="5">[3]Reajustes!$AF$172:$AL$204</definedName>
    <definedName name="RESUMEN">#REF!</definedName>
    <definedName name="REVISAR" localSheetId="5">#REF!</definedName>
    <definedName name="REVISAR">#REF!</definedName>
    <definedName name="REVISAR1" localSheetId="5">#REF!</definedName>
    <definedName name="REVISAR1">#REF!</definedName>
    <definedName name="_xlnm.Print_Titles" localSheetId="5">'CAO A.P. Nº 05'!$1:$8</definedName>
    <definedName name="UND." localSheetId="5">#REF!</definedName>
    <definedName name="UND.">#REF!</definedName>
    <definedName name="VAL" localSheetId="2">[2]Reajustes!$A$1:$K$44</definedName>
    <definedName name="VAL" localSheetId="5">[3]Reajustes!$A$1:$K$44</definedName>
    <definedName name="VAL">#REF!</definedName>
    <definedName name="Valorización" localSheetId="2">#REF!</definedName>
    <definedName name="Valorización" localSheetId="5">#REF!</definedName>
    <definedName name="Valorización">#REF!</definedName>
  </definedNames>
  <calcPr calcId="162913"/>
</workbook>
</file>

<file path=xl/calcChain.xml><?xml version="1.0" encoding="utf-8"?>
<calcChain xmlns="http://schemas.openxmlformats.org/spreadsheetml/2006/main">
  <c r="F16" i="86" l="1"/>
  <c r="F13" i="68" l="1"/>
  <c r="H13" i="68" s="1"/>
  <c r="AE13" i="68"/>
  <c r="AG13" i="68"/>
  <c r="AH13" i="68"/>
  <c r="F14" i="68"/>
  <c r="H14" i="68" s="1"/>
  <c r="AE14" i="68"/>
  <c r="AG14" i="68"/>
  <c r="F15" i="68"/>
  <c r="AE15" i="68"/>
  <c r="AG15" i="68"/>
  <c r="F16" i="68"/>
  <c r="H16" i="68"/>
  <c r="AE16" i="68"/>
  <c r="AG16" i="68"/>
  <c r="F17" i="68"/>
  <c r="H17" i="68" s="1"/>
  <c r="AE17" i="68"/>
  <c r="AG17" i="68"/>
  <c r="F18" i="68"/>
  <c r="H18" i="68" s="1"/>
  <c r="AE18" i="68"/>
  <c r="AG18" i="68"/>
  <c r="AH18" i="68" s="1"/>
  <c r="H19" i="68"/>
  <c r="AG19" i="68"/>
  <c r="AH19" i="68"/>
  <c r="H20" i="68"/>
  <c r="AG20" i="68"/>
  <c r="AH20" i="68" s="1"/>
  <c r="F21" i="68"/>
  <c r="H21" i="68" s="1"/>
  <c r="AE21" i="68"/>
  <c r="AG21" i="68"/>
  <c r="F22" i="68"/>
  <c r="H22" i="68" s="1"/>
  <c r="AE22" i="68"/>
  <c r="AG22" i="68"/>
  <c r="F23" i="68"/>
  <c r="H23" i="68" s="1"/>
  <c r="AE23" i="68"/>
  <c r="AG23" i="68"/>
  <c r="AH23" i="68" s="1"/>
  <c r="F24" i="68"/>
  <c r="H24" i="68" s="1"/>
  <c r="AE24" i="68"/>
  <c r="AG24" i="68"/>
  <c r="F25" i="68"/>
  <c r="H25" i="68" s="1"/>
  <c r="AE25" i="68"/>
  <c r="AG25" i="68"/>
  <c r="F26" i="68"/>
  <c r="H26" i="68" s="1"/>
  <c r="AE26" i="68"/>
  <c r="AG26" i="68"/>
  <c r="H27" i="68"/>
  <c r="AG27" i="68"/>
  <c r="AH27" i="68" s="1"/>
  <c r="H28" i="68"/>
  <c r="AG28" i="68"/>
  <c r="AH28" i="68" s="1"/>
  <c r="F29" i="68"/>
  <c r="H29" i="68" s="1"/>
  <c r="AE29" i="68"/>
  <c r="AG29" i="68"/>
  <c r="AH29" i="68" s="1"/>
  <c r="F30" i="68"/>
  <c r="H30" i="68" s="1"/>
  <c r="AE30" i="68"/>
  <c r="AG30" i="68"/>
  <c r="F31" i="68"/>
  <c r="AE31" i="68"/>
  <c r="AG31" i="68"/>
  <c r="F32" i="68"/>
  <c r="H32" i="68" s="1"/>
  <c r="AE32" i="68"/>
  <c r="AG32" i="68"/>
  <c r="F33" i="68"/>
  <c r="H33" i="68" s="1"/>
  <c r="AE33" i="68"/>
  <c r="AG33" i="68"/>
  <c r="F34" i="68"/>
  <c r="H34" i="68" s="1"/>
  <c r="AE34" i="68"/>
  <c r="AG34" i="68"/>
  <c r="H35" i="68"/>
  <c r="AG35" i="68"/>
  <c r="AH35" i="68" s="1"/>
  <c r="F36" i="68"/>
  <c r="AE36" i="68"/>
  <c r="AG36" i="68"/>
  <c r="F37" i="68"/>
  <c r="H37" i="68" s="1"/>
  <c r="AE37" i="68"/>
  <c r="AG37" i="68"/>
  <c r="H38" i="68"/>
  <c r="AG38" i="68"/>
  <c r="AH38" i="68" s="1"/>
  <c r="F39" i="68"/>
  <c r="H39" i="68" s="1"/>
  <c r="AE39" i="68"/>
  <c r="AG39" i="68"/>
  <c r="AH39" i="68" s="1"/>
  <c r="H40" i="68"/>
  <c r="AG40" i="68"/>
  <c r="AH40" i="68" s="1"/>
  <c r="F41" i="68"/>
  <c r="H41" i="68" s="1"/>
  <c r="AE41" i="68"/>
  <c r="AG41" i="68"/>
  <c r="AH41" i="68" s="1"/>
  <c r="F42" i="68"/>
  <c r="H42" i="68" s="1"/>
  <c r="AE42" i="68"/>
  <c r="AG42" i="68"/>
  <c r="F43" i="68"/>
  <c r="AE43" i="68"/>
  <c r="AG43" i="68"/>
  <c r="F44" i="68"/>
  <c r="AH44" i="68" s="1"/>
  <c r="AE44" i="68"/>
  <c r="AG44" i="68"/>
  <c r="H45" i="68"/>
  <c r="AG45" i="68"/>
  <c r="AH45" i="68" s="1"/>
  <c r="H46" i="68"/>
  <c r="AG46" i="68"/>
  <c r="AH46" i="68" s="1"/>
  <c r="F47" i="68"/>
  <c r="H47" i="68" s="1"/>
  <c r="AE47" i="68"/>
  <c r="AG47" i="68"/>
  <c r="F48" i="68"/>
  <c r="H48" i="68" s="1"/>
  <c r="AE48" i="68"/>
  <c r="AG48" i="68"/>
  <c r="F49" i="68"/>
  <c r="AE49" i="68"/>
  <c r="AG49" i="68"/>
  <c r="F50" i="68"/>
  <c r="H50" i="68" s="1"/>
  <c r="AE50" i="68"/>
  <c r="AG50" i="68"/>
  <c r="H51" i="68"/>
  <c r="AG51" i="68"/>
  <c r="AH51" i="68" s="1"/>
  <c r="F52" i="68"/>
  <c r="H52" i="68" s="1"/>
  <c r="AE52" i="68"/>
  <c r="AG52" i="68"/>
  <c r="F53" i="68"/>
  <c r="R53" i="68" s="1"/>
  <c r="F54" i="68"/>
  <c r="F55" i="68"/>
  <c r="P55" i="68"/>
  <c r="F56" i="68"/>
  <c r="P56" i="68" s="1"/>
  <c r="H57" i="68"/>
  <c r="AG57" i="68"/>
  <c r="AH57" i="68" s="1"/>
  <c r="F58" i="68"/>
  <c r="H59" i="68"/>
  <c r="AG59" i="68"/>
  <c r="AH59" i="68" s="1"/>
  <c r="F60" i="68"/>
  <c r="O60" i="68" s="1"/>
  <c r="F61" i="68"/>
  <c r="N61" i="68" s="1"/>
  <c r="F62" i="68"/>
  <c r="H63" i="68"/>
  <c r="AG63" i="68"/>
  <c r="AH63" i="68" s="1"/>
  <c r="F64" i="68"/>
  <c r="H64" i="68" s="1"/>
  <c r="AE64" i="68"/>
  <c r="AG64" i="68"/>
  <c r="H65" i="68"/>
  <c r="AG65" i="68"/>
  <c r="AH65" i="68" s="1"/>
  <c r="H66" i="68"/>
  <c r="AG66" i="68"/>
  <c r="AH66" i="68" s="1"/>
  <c r="F67" i="68"/>
  <c r="AE67" i="68"/>
  <c r="AG67" i="68"/>
  <c r="F68" i="68"/>
  <c r="AE68" i="68"/>
  <c r="AG68" i="68"/>
  <c r="F69" i="68"/>
  <c r="H69" i="68" s="1"/>
  <c r="AE69" i="68"/>
  <c r="AG69" i="68"/>
  <c r="AH69" i="68"/>
  <c r="F70" i="68"/>
  <c r="H70" i="68" s="1"/>
  <c r="AE70" i="68"/>
  <c r="AG70" i="68"/>
  <c r="F71" i="68"/>
  <c r="H71" i="68" s="1"/>
  <c r="AE71" i="68"/>
  <c r="AG71" i="68"/>
  <c r="H72" i="68"/>
  <c r="AG72" i="68"/>
  <c r="AH72" i="68" s="1"/>
  <c r="F73" i="68"/>
  <c r="H73" i="68" s="1"/>
  <c r="F74" i="68"/>
  <c r="H74" i="68" s="1"/>
  <c r="F75" i="68"/>
  <c r="H75" i="68" s="1"/>
  <c r="H76" i="68"/>
  <c r="AG76" i="68"/>
  <c r="AH76" i="68" s="1"/>
  <c r="H77" i="68"/>
  <c r="AG77" i="68"/>
  <c r="AH77" i="68" s="1"/>
  <c r="F78" i="68"/>
  <c r="H78" i="68" s="1"/>
  <c r="AE78" i="68"/>
  <c r="AG78" i="68"/>
  <c r="F79" i="68"/>
  <c r="H79" i="68"/>
  <c r="AE79" i="68"/>
  <c r="AG79" i="68"/>
  <c r="AH79" i="68" s="1"/>
  <c r="F80" i="68"/>
  <c r="AE80" i="68"/>
  <c r="AG80" i="68"/>
  <c r="F81" i="68"/>
  <c r="H81" i="68" s="1"/>
  <c r="AE81" i="68"/>
  <c r="AG81" i="68"/>
  <c r="F82" i="68"/>
  <c r="AE82" i="68"/>
  <c r="AG82" i="68"/>
  <c r="F83" i="68"/>
  <c r="H83" i="68" s="1"/>
  <c r="AE83" i="68"/>
  <c r="AG83" i="68"/>
  <c r="H84" i="68"/>
  <c r="AG84" i="68"/>
  <c r="AH84" i="68" s="1"/>
  <c r="F85" i="68"/>
  <c r="H85" i="68" s="1"/>
  <c r="U85" i="68" s="1"/>
  <c r="F86" i="68"/>
  <c r="H86" i="68" s="1"/>
  <c r="V86" i="68" s="1"/>
  <c r="F87" i="68"/>
  <c r="H87" i="68" s="1"/>
  <c r="F88" i="68"/>
  <c r="F89" i="68"/>
  <c r="H89" i="68" s="1"/>
  <c r="F90" i="68"/>
  <c r="H90" i="68" s="1"/>
  <c r="V90" i="68" s="1"/>
  <c r="F91" i="68"/>
  <c r="H91" i="68" s="1"/>
  <c r="F92" i="68"/>
  <c r="F93" i="68"/>
  <c r="H93" i="68" s="1"/>
  <c r="V93" i="68" s="1"/>
  <c r="F94" i="68"/>
  <c r="H94" i="68"/>
  <c r="V94" i="68" s="1"/>
  <c r="H95" i="68"/>
  <c r="AG95" i="68"/>
  <c r="AH95" i="68" s="1"/>
  <c r="F96" i="68"/>
  <c r="F97" i="68"/>
  <c r="F98" i="68"/>
  <c r="X98" i="68" s="1"/>
  <c r="F99" i="68"/>
  <c r="X99" i="68" s="1"/>
  <c r="F100" i="68"/>
  <c r="H100" i="68" s="1"/>
  <c r="Y100" i="68" s="1"/>
  <c r="F101" i="68"/>
  <c r="H101" i="68" s="1"/>
  <c r="F102" i="68"/>
  <c r="H102" i="68"/>
  <c r="AE102" i="68"/>
  <c r="AG102" i="68"/>
  <c r="AH102" i="68" s="1"/>
  <c r="F103" i="68"/>
  <c r="H103" i="68"/>
  <c r="AE103" i="68"/>
  <c r="AG103" i="68"/>
  <c r="AH103" i="68" s="1"/>
  <c r="F104" i="68"/>
  <c r="AE104" i="68"/>
  <c r="AG104" i="68"/>
  <c r="F105" i="68"/>
  <c r="H105" i="68" s="1"/>
  <c r="AE105" i="68"/>
  <c r="AG105" i="68"/>
  <c r="H106" i="68"/>
  <c r="AG106" i="68"/>
  <c r="AH106" i="68" s="1"/>
  <c r="F107" i="68"/>
  <c r="H107" i="68" s="1"/>
  <c r="AE107" i="68"/>
  <c r="AG107" i="68"/>
  <c r="F108" i="68"/>
  <c r="H108" i="68" s="1"/>
  <c r="F109" i="68"/>
  <c r="H109" i="68" s="1"/>
  <c r="AE109" i="68"/>
  <c r="AG109" i="68"/>
  <c r="H110" i="68"/>
  <c r="AG110" i="68"/>
  <c r="AH110" i="68" s="1"/>
  <c r="F111" i="68"/>
  <c r="F112" i="68"/>
  <c r="H113" i="68"/>
  <c r="AG113" i="68"/>
  <c r="AH113" i="68" s="1"/>
  <c r="F114" i="68"/>
  <c r="AB114" i="68" s="1"/>
  <c r="H115" i="68"/>
  <c r="AG115" i="68"/>
  <c r="AH115" i="68" s="1"/>
  <c r="F116" i="68"/>
  <c r="F117" i="68"/>
  <c r="H117" i="68" s="1"/>
  <c r="F118" i="68"/>
  <c r="H118" i="68" s="1"/>
  <c r="F119" i="68"/>
  <c r="H119" i="68" s="1"/>
  <c r="H120" i="68"/>
  <c r="AG120" i="68"/>
  <c r="AH120" i="68" s="1"/>
  <c r="H121" i="68"/>
  <c r="AG121" i="68"/>
  <c r="AH121" i="68" s="1"/>
  <c r="F122" i="68"/>
  <c r="H122" i="68"/>
  <c r="AE122" i="68"/>
  <c r="AG122" i="68"/>
  <c r="AH122" i="68" s="1"/>
  <c r="F123" i="68"/>
  <c r="H123" i="68"/>
  <c r="AE123" i="68"/>
  <c r="AG123" i="68"/>
  <c r="AH123" i="68" s="1"/>
  <c r="F124" i="68"/>
  <c r="H124" i="68" s="1"/>
  <c r="F125" i="68"/>
  <c r="H125" i="68" s="1"/>
  <c r="AE125" i="68"/>
  <c r="AG125" i="68"/>
  <c r="AH125" i="68" s="1"/>
  <c r="F126" i="68"/>
  <c r="AE126" i="68"/>
  <c r="AG126" i="68"/>
  <c r="H127" i="68"/>
  <c r="AG127" i="68"/>
  <c r="AH127" i="68" s="1"/>
  <c r="F128" i="68"/>
  <c r="H128" i="68" s="1"/>
  <c r="AE128" i="68"/>
  <c r="AG128" i="68"/>
  <c r="F129" i="68"/>
  <c r="F130" i="68"/>
  <c r="H130" i="68" s="1"/>
  <c r="AE130" i="68"/>
  <c r="AG130" i="68"/>
  <c r="H131" i="68"/>
  <c r="AG131" i="68"/>
  <c r="AH131" i="68" s="1"/>
  <c r="F132" i="68"/>
  <c r="H132" i="68" s="1"/>
  <c r="V132" i="68"/>
  <c r="AE132" i="68" s="1"/>
  <c r="F133" i="68"/>
  <c r="H133" i="68" s="1"/>
  <c r="V133" i="68"/>
  <c r="H134" i="68"/>
  <c r="AG134" i="68"/>
  <c r="AH134" i="68"/>
  <c r="F135" i="68"/>
  <c r="H135" i="68" s="1"/>
  <c r="V135" i="68"/>
  <c r="AE135" i="68" s="1"/>
  <c r="H136" i="68"/>
  <c r="AG136" i="68"/>
  <c r="AH136" i="68" s="1"/>
  <c r="F137" i="68"/>
  <c r="H137" i="68" s="1"/>
  <c r="AE137" i="68"/>
  <c r="AG137" i="68"/>
  <c r="AH137" i="68" s="1"/>
  <c r="F138" i="68"/>
  <c r="AE138" i="68"/>
  <c r="AG138" i="68"/>
  <c r="F139" i="68"/>
  <c r="H139" i="68" s="1"/>
  <c r="AE139" i="68"/>
  <c r="AG139" i="68"/>
  <c r="F140" i="68"/>
  <c r="H140" i="68"/>
  <c r="AE140" i="68"/>
  <c r="AG140" i="68"/>
  <c r="AH140" i="68" s="1"/>
  <c r="F141" i="68"/>
  <c r="H141" i="68"/>
  <c r="AE141" i="68"/>
  <c r="AG141" i="68"/>
  <c r="AH141" i="68" s="1"/>
  <c r="H142" i="68"/>
  <c r="AG142" i="68"/>
  <c r="AH142" i="68" s="1"/>
  <c r="H143" i="68"/>
  <c r="AG143" i="68"/>
  <c r="AH143" i="68" s="1"/>
  <c r="F144" i="68"/>
  <c r="H144" i="68" s="1"/>
  <c r="AE144" i="68"/>
  <c r="AG144" i="68"/>
  <c r="F145" i="68"/>
  <c r="H145" i="68" s="1"/>
  <c r="AE145" i="68"/>
  <c r="AG145" i="68"/>
  <c r="F146" i="68"/>
  <c r="H146" i="68" s="1"/>
  <c r="AE146" i="68"/>
  <c r="AG146" i="68"/>
  <c r="F147" i="68"/>
  <c r="AE147" i="68"/>
  <c r="AG147" i="68"/>
  <c r="F148" i="68"/>
  <c r="H148" i="68" s="1"/>
  <c r="AE148" i="68"/>
  <c r="AG148" i="68"/>
  <c r="AH148" i="68" s="1"/>
  <c r="H149" i="68"/>
  <c r="AG149" i="68"/>
  <c r="AH149" i="68" s="1"/>
  <c r="F150" i="68"/>
  <c r="H150" i="68" s="1"/>
  <c r="AE150" i="68"/>
  <c r="AG150" i="68"/>
  <c r="F151" i="68"/>
  <c r="H151" i="68"/>
  <c r="AE151" i="68"/>
  <c r="AG151" i="68"/>
  <c r="AH151" i="68" s="1"/>
  <c r="F152" i="68"/>
  <c r="AE152" i="68"/>
  <c r="AG152" i="68"/>
  <c r="H153" i="68"/>
  <c r="AG153" i="68"/>
  <c r="AH153" i="68"/>
  <c r="F154" i="68"/>
  <c r="H154" i="68" s="1"/>
  <c r="AE154" i="68"/>
  <c r="AG154" i="68"/>
  <c r="F155" i="68"/>
  <c r="H155" i="68" s="1"/>
  <c r="AE155" i="68"/>
  <c r="AG155" i="68"/>
  <c r="H156" i="68"/>
  <c r="AG156" i="68"/>
  <c r="AH156" i="68" s="1"/>
  <c r="F157" i="68"/>
  <c r="H157" i="68" s="1"/>
  <c r="AE157" i="68"/>
  <c r="AG157" i="68"/>
  <c r="H158" i="68"/>
  <c r="AG158" i="68"/>
  <c r="AH158" i="68" s="1"/>
  <c r="F159" i="68"/>
  <c r="H159" i="68" s="1"/>
  <c r="AE159" i="68"/>
  <c r="AG159" i="68"/>
  <c r="AH159" i="68" s="1"/>
  <c r="F160" i="68"/>
  <c r="H160" i="68" s="1"/>
  <c r="AE160" i="68"/>
  <c r="AG160" i="68"/>
  <c r="AH160" i="68" s="1"/>
  <c r="F161" i="68"/>
  <c r="H161" i="68" s="1"/>
  <c r="AE161" i="68"/>
  <c r="AG161" i="68"/>
  <c r="AH161" i="68" s="1"/>
  <c r="F162" i="68"/>
  <c r="H162" i="68" s="1"/>
  <c r="AE162" i="68"/>
  <c r="AG162" i="68"/>
  <c r="F163" i="68"/>
  <c r="H163" i="68" s="1"/>
  <c r="AE163" i="68"/>
  <c r="AG163" i="68"/>
  <c r="F164" i="68"/>
  <c r="AE164" i="68"/>
  <c r="AG164" i="68"/>
  <c r="F165" i="68"/>
  <c r="H165" i="68" s="1"/>
  <c r="AE165" i="68"/>
  <c r="AG165" i="68"/>
  <c r="AH165" i="68" s="1"/>
  <c r="H166" i="68"/>
  <c r="AG166" i="68"/>
  <c r="AH166" i="68" s="1"/>
  <c r="F167" i="68"/>
  <c r="H167" i="68" s="1"/>
  <c r="AE167" i="68"/>
  <c r="AG167" i="68"/>
  <c r="F168" i="68"/>
  <c r="H168" i="68"/>
  <c r="AE168" i="68"/>
  <c r="AG168" i="68"/>
  <c r="AH168" i="68" s="1"/>
  <c r="H169" i="68"/>
  <c r="AG169" i="68"/>
  <c r="AH169" i="68" s="1"/>
  <c r="F170" i="68"/>
  <c r="AC170" i="68"/>
  <c r="AE170" i="68" s="1"/>
  <c r="AG171" i="68"/>
  <c r="AH171" i="68" s="1"/>
  <c r="G172" i="68"/>
  <c r="I172" i="68"/>
  <c r="I173" i="68" s="1"/>
  <c r="J172" i="68"/>
  <c r="J173" i="68" s="1"/>
  <c r="K172" i="68"/>
  <c r="L172" i="68"/>
  <c r="L173" i="68" s="1"/>
  <c r="M172" i="68"/>
  <c r="T172" i="68"/>
  <c r="T174" i="68" s="1"/>
  <c r="M174" i="68"/>
  <c r="AG175" i="68"/>
  <c r="AH175" i="68" s="1"/>
  <c r="AG177" i="68"/>
  <c r="AH177" i="68" s="1"/>
  <c r="AG178" i="68"/>
  <c r="AH178" i="68" s="1"/>
  <c r="AB179" i="68"/>
  <c r="AD179" i="68"/>
  <c r="AD182" i="68" s="1"/>
  <c r="AG180" i="68"/>
  <c r="AH180" i="68"/>
  <c r="AG181" i="68"/>
  <c r="AH181" i="68" s="1"/>
  <c r="F182" i="68"/>
  <c r="F184" i="68" s="1"/>
  <c r="H182" i="68"/>
  <c r="I182" i="68"/>
  <c r="J182" i="68"/>
  <c r="J183" i="68" s="1"/>
  <c r="K182" i="68"/>
  <c r="L182" i="68"/>
  <c r="M182" i="68"/>
  <c r="N182" i="68"/>
  <c r="O182" i="68"/>
  <c r="O183" i="68" s="1"/>
  <c r="P182" i="68"/>
  <c r="P183" i="68" s="1"/>
  <c r="Q182" i="68"/>
  <c r="R182" i="68"/>
  <c r="R184" i="68" s="1"/>
  <c r="R186" i="68" s="1"/>
  <c r="S182" i="68"/>
  <c r="S183" i="68" s="1"/>
  <c r="T182" i="68"/>
  <c r="U182" i="68"/>
  <c r="W182" i="68"/>
  <c r="X182" i="68"/>
  <c r="Y182" i="68"/>
  <c r="Z182" i="68"/>
  <c r="AA182" i="68"/>
  <c r="AA183" i="68" s="1"/>
  <c r="AC182" i="68"/>
  <c r="AC184" i="68" s="1"/>
  <c r="R183" i="68"/>
  <c r="I184" i="68"/>
  <c r="J184" i="68"/>
  <c r="L184" i="68"/>
  <c r="P184" i="68"/>
  <c r="P186" i="68" s="1"/>
  <c r="X184" i="68"/>
  <c r="AG185" i="68"/>
  <c r="AH185" i="68" s="1"/>
  <c r="AG187" i="68"/>
  <c r="AH187" i="68" s="1"/>
  <c r="AG188" i="68"/>
  <c r="AH188" i="68" s="1"/>
  <c r="AB189" i="68"/>
  <c r="AB190" i="68" s="1"/>
  <c r="F190" i="68"/>
  <c r="F192" i="68" s="1"/>
  <c r="H190" i="68"/>
  <c r="H192" i="68" s="1"/>
  <c r="I190" i="68"/>
  <c r="I191" i="68" s="1"/>
  <c r="J190" i="68"/>
  <c r="K190" i="68"/>
  <c r="K192" i="68"/>
  <c r="L190" i="68"/>
  <c r="M190" i="68"/>
  <c r="N190" i="68"/>
  <c r="N191" i="68" s="1"/>
  <c r="O190" i="68"/>
  <c r="O192" i="68" s="1"/>
  <c r="P190" i="68"/>
  <c r="Q190" i="68"/>
  <c r="R190" i="68"/>
  <c r="S190" i="68"/>
  <c r="T190" i="68"/>
  <c r="U190" i="68"/>
  <c r="V190" i="68"/>
  <c r="V191" i="68" s="1"/>
  <c r="W190" i="68"/>
  <c r="X190" i="68"/>
  <c r="X191" i="68" s="1"/>
  <c r="Y190" i="68"/>
  <c r="Y191" i="68" s="1"/>
  <c r="Z190" i="68"/>
  <c r="Z191" i="68" s="1"/>
  <c r="AA190" i="68"/>
  <c r="AC190" i="68"/>
  <c r="AC191" i="68" s="1"/>
  <c r="AD190" i="68"/>
  <c r="AD191" i="68" s="1"/>
  <c r="F191" i="68"/>
  <c r="F194" i="68" s="1"/>
  <c r="K191" i="68"/>
  <c r="I192" i="68"/>
  <c r="M192" i="68"/>
  <c r="V192" i="68"/>
  <c r="D1" i="69"/>
  <c r="D2" i="69"/>
  <c r="D3" i="69"/>
  <c r="D4" i="69"/>
  <c r="D5" i="69"/>
  <c r="D6" i="69"/>
  <c r="D7" i="69"/>
  <c r="D8" i="69" s="1"/>
  <c r="I19" i="69"/>
  <c r="I20" i="69" s="1"/>
  <c r="L19" i="69"/>
  <c r="I21" i="69"/>
  <c r="I22" i="69" s="1"/>
  <c r="I23" i="69" s="1"/>
  <c r="I24" i="69" s="1"/>
  <c r="I25" i="69" s="1"/>
  <c r="I26" i="69" s="1"/>
  <c r="I27" i="69" s="1"/>
  <c r="I28" i="69" s="1"/>
  <c r="I29" i="69" s="1"/>
  <c r="I30" i="69" s="1"/>
  <c r="L20" i="69"/>
  <c r="L21" i="69"/>
  <c r="L22" i="69"/>
  <c r="L23" i="69"/>
  <c r="L24" i="69"/>
  <c r="L25" i="69"/>
  <c r="L26" i="69"/>
  <c r="L27" i="69"/>
  <c r="L28" i="69"/>
  <c r="L29" i="69"/>
  <c r="L30" i="69"/>
  <c r="H32" i="69"/>
  <c r="J34" i="69" s="1"/>
  <c r="J37" i="69" s="1"/>
  <c r="J32" i="69"/>
  <c r="K32" i="69"/>
  <c r="J35" i="69"/>
  <c r="D45" i="69"/>
  <c r="D46" i="69" s="1"/>
  <c r="D47" i="69" s="1"/>
  <c r="D48" i="69" s="1"/>
  <c r="D49" i="69" s="1"/>
  <c r="D50" i="69" s="1"/>
  <c r="D51" i="69" s="1"/>
  <c r="D52" i="69" s="1"/>
  <c r="D53" i="69" s="1"/>
  <c r="D54" i="69" s="1"/>
  <c r="D55" i="69" s="1"/>
  <c r="D56" i="69" s="1"/>
  <c r="D57" i="69" s="1"/>
  <c r="F45" i="69"/>
  <c r="F46" i="69" s="1"/>
  <c r="F47" i="69" s="1"/>
  <c r="F48" i="69" s="1"/>
  <c r="F49" i="69" s="1"/>
  <c r="F50" i="69" s="1"/>
  <c r="F51" i="69" s="1"/>
  <c r="F52" i="69" s="1"/>
  <c r="F53" i="69" s="1"/>
  <c r="F54" i="69" s="1"/>
  <c r="F55" i="69" s="1"/>
  <c r="F56" i="69" s="1"/>
  <c r="O45" i="69"/>
  <c r="P45" i="69" s="1"/>
  <c r="P59" i="69" s="1"/>
  <c r="L65" i="69" s="1"/>
  <c r="O46" i="69"/>
  <c r="P46" i="69" s="1"/>
  <c r="O47" i="69"/>
  <c r="P47" i="69" s="1"/>
  <c r="O48" i="69"/>
  <c r="P48" i="69" s="1"/>
  <c r="O49" i="69"/>
  <c r="P49" i="69" s="1"/>
  <c r="G50" i="69"/>
  <c r="O50" i="69"/>
  <c r="P50" i="69" s="1"/>
  <c r="G51" i="69"/>
  <c r="O51" i="69"/>
  <c r="P51" i="69" s="1"/>
  <c r="G52" i="69"/>
  <c r="H52" i="69" s="1"/>
  <c r="L52" i="69" s="1"/>
  <c r="O52" i="69"/>
  <c r="P52" i="69" s="1"/>
  <c r="H53" i="69"/>
  <c r="J53" i="69"/>
  <c r="L53" i="69"/>
  <c r="O53" i="69"/>
  <c r="P53" i="69" s="1"/>
  <c r="H54" i="69"/>
  <c r="L54" i="69" s="1"/>
  <c r="J54" i="69"/>
  <c r="O54" i="69"/>
  <c r="P54" i="69" s="1"/>
  <c r="H55" i="69"/>
  <c r="L55" i="69" s="1"/>
  <c r="J55" i="69"/>
  <c r="O55" i="69"/>
  <c r="P55" i="69" s="1"/>
  <c r="H56" i="69"/>
  <c r="J56" i="69"/>
  <c r="L56" i="69" s="1"/>
  <c r="O56" i="69"/>
  <c r="P56" i="69" s="1"/>
  <c r="H57" i="69"/>
  <c r="L57" i="69"/>
  <c r="O57" i="69"/>
  <c r="P57" i="69" s="1"/>
  <c r="N59" i="69"/>
  <c r="O59" i="69"/>
  <c r="D7" i="75"/>
  <c r="D8" i="75" s="1"/>
  <c r="O25" i="75"/>
  <c r="Q27" i="75"/>
  <c r="E35" i="75"/>
  <c r="I35" i="75" s="1"/>
  <c r="L35" i="75" s="1"/>
  <c r="F35" i="75"/>
  <c r="M35" i="75" s="1"/>
  <c r="G35" i="75"/>
  <c r="G36" i="75" s="1"/>
  <c r="J35" i="75"/>
  <c r="E36" i="75"/>
  <c r="I36" i="75" s="1"/>
  <c r="F36" i="75"/>
  <c r="M36" i="75" s="1"/>
  <c r="G37" i="75"/>
  <c r="J36" i="75"/>
  <c r="K36" i="75" s="1"/>
  <c r="E37" i="75"/>
  <c r="E38" i="75" s="1"/>
  <c r="E39" i="75" s="1"/>
  <c r="E40" i="75" s="1"/>
  <c r="F37" i="75"/>
  <c r="M37" i="75" s="1"/>
  <c r="J37" i="75"/>
  <c r="K37" i="75" s="1"/>
  <c r="F38" i="75"/>
  <c r="G38" i="75"/>
  <c r="G39" i="75" s="1"/>
  <c r="J38" i="75"/>
  <c r="K38" i="75" s="1"/>
  <c r="F39" i="75"/>
  <c r="K39" i="75"/>
  <c r="C40" i="75"/>
  <c r="J40" i="75" s="1"/>
  <c r="F40" i="75"/>
  <c r="M40" i="75" s="1"/>
  <c r="C41" i="75"/>
  <c r="J41" i="75" s="1"/>
  <c r="C42" i="75"/>
  <c r="J42" i="75" s="1"/>
  <c r="K42" i="75" s="1"/>
  <c r="C43" i="75"/>
  <c r="J43" i="75" s="1"/>
  <c r="K43" i="75" s="1"/>
  <c r="C44" i="75"/>
  <c r="J44" i="75" s="1"/>
  <c r="K44" i="75" s="1"/>
  <c r="E54" i="75"/>
  <c r="E55" i="75" s="1"/>
  <c r="E56" i="75" s="1"/>
  <c r="F54" i="75"/>
  <c r="G54" i="75"/>
  <c r="G55" i="75" s="1"/>
  <c r="G56" i="75" s="1"/>
  <c r="G57" i="75" s="1"/>
  <c r="G58" i="75" s="1"/>
  <c r="G59" i="75" s="1"/>
  <c r="G60" i="75" s="1"/>
  <c r="J54" i="75"/>
  <c r="F55" i="75"/>
  <c r="J55" i="75"/>
  <c r="K55" i="75" s="1"/>
  <c r="F56" i="75"/>
  <c r="J56" i="75"/>
  <c r="K56" i="75" s="1"/>
  <c r="F57" i="75"/>
  <c r="J57" i="75"/>
  <c r="F58" i="75"/>
  <c r="C59" i="75"/>
  <c r="J59" i="75" s="1"/>
  <c r="F59" i="75"/>
  <c r="C60" i="75"/>
  <c r="J60" i="75" s="1"/>
  <c r="C61" i="75"/>
  <c r="J61" i="75" s="1"/>
  <c r="K61" i="75" s="1"/>
  <c r="C62" i="75"/>
  <c r="J62" i="75" s="1"/>
  <c r="K62" i="75" s="1"/>
  <c r="C63" i="75"/>
  <c r="J63" i="75" s="1"/>
  <c r="K63" i="75" s="1"/>
  <c r="E71" i="75"/>
  <c r="F71" i="75"/>
  <c r="G71" i="75"/>
  <c r="G72" i="75" s="1"/>
  <c r="G73" i="75" s="1"/>
  <c r="G74" i="75" s="1"/>
  <c r="G75" i="75" s="1"/>
  <c r="G76" i="75" s="1"/>
  <c r="G77" i="75" s="1"/>
  <c r="G78" i="75" s="1"/>
  <c r="G79" i="75" s="1"/>
  <c r="G80" i="75" s="1"/>
  <c r="J71" i="75"/>
  <c r="F72" i="75"/>
  <c r="J72" i="75"/>
  <c r="K72" i="75" s="1"/>
  <c r="F73" i="75"/>
  <c r="J73" i="75"/>
  <c r="K73" i="75" s="1"/>
  <c r="F74" i="75"/>
  <c r="J74" i="75"/>
  <c r="F75" i="75"/>
  <c r="C76" i="75"/>
  <c r="J76" i="75" s="1"/>
  <c r="F76" i="75"/>
  <c r="C77" i="75"/>
  <c r="J77" i="75" s="1"/>
  <c r="C78" i="75"/>
  <c r="J78" i="75" s="1"/>
  <c r="K78" i="75" s="1"/>
  <c r="M78" i="75" s="1"/>
  <c r="C79" i="75"/>
  <c r="J79" i="75" s="1"/>
  <c r="K79" i="75" s="1"/>
  <c r="C80" i="75"/>
  <c r="J80" i="75" s="1"/>
  <c r="K80" i="75" s="1"/>
  <c r="E92" i="75"/>
  <c r="I92" i="75" s="1"/>
  <c r="L92" i="75" s="1"/>
  <c r="F92" i="75"/>
  <c r="M92" i="75" s="1"/>
  <c r="M103" i="75" s="1"/>
  <c r="G92" i="75"/>
  <c r="J92" i="75"/>
  <c r="E93" i="75"/>
  <c r="F93" i="75"/>
  <c r="G93" i="75"/>
  <c r="J93" i="75"/>
  <c r="K93" i="75" s="1"/>
  <c r="M93" i="75" s="1"/>
  <c r="E94" i="75"/>
  <c r="I94" i="75" s="1"/>
  <c r="F94" i="75"/>
  <c r="G94" i="75"/>
  <c r="G95" i="75" s="1"/>
  <c r="G96" i="75" s="1"/>
  <c r="J94" i="75"/>
  <c r="K94" i="75" s="1"/>
  <c r="E95" i="75"/>
  <c r="E96" i="75" s="1"/>
  <c r="F95" i="75"/>
  <c r="G97" i="75"/>
  <c r="G98" i="75" s="1"/>
  <c r="J95" i="75"/>
  <c r="K95" i="75" s="1"/>
  <c r="F96" i="75"/>
  <c r="M96" i="75" s="1"/>
  <c r="C97" i="75"/>
  <c r="J97" i="75" s="1"/>
  <c r="F97" i="75"/>
  <c r="C98" i="75"/>
  <c r="J98" i="75" s="1"/>
  <c r="C99" i="75"/>
  <c r="J99" i="75" s="1"/>
  <c r="K99" i="75" s="1"/>
  <c r="C100" i="75"/>
  <c r="J100" i="75" s="1"/>
  <c r="K100" i="75" s="1"/>
  <c r="C101" i="75"/>
  <c r="J101" i="75" s="1"/>
  <c r="K101" i="75" s="1"/>
  <c r="H130" i="75"/>
  <c r="J134" i="75" s="1"/>
  <c r="D7" i="74"/>
  <c r="D8" i="74" s="1"/>
  <c r="D14" i="74"/>
  <c r="K28" i="74"/>
  <c r="D31" i="74"/>
  <c r="G31" i="74" s="1"/>
  <c r="I31" i="74"/>
  <c r="I32" i="74" s="1"/>
  <c r="I33" i="74" s="1"/>
  <c r="I34" i="74" s="1"/>
  <c r="I35" i="74" s="1"/>
  <c r="I36" i="74" s="1"/>
  <c r="I37" i="74" s="1"/>
  <c r="D32" i="74"/>
  <c r="E32" i="74"/>
  <c r="E33" i="74" s="1"/>
  <c r="E34" i="74" s="1"/>
  <c r="E35" i="74" s="1"/>
  <c r="E36" i="74" s="1"/>
  <c r="E37" i="74" s="1"/>
  <c r="E38" i="74" s="1"/>
  <c r="E39" i="74" s="1"/>
  <c r="E40" i="74" s="1"/>
  <c r="D33" i="74"/>
  <c r="D34" i="74"/>
  <c r="D36" i="74"/>
  <c r="D37" i="74"/>
  <c r="D38" i="74"/>
  <c r="D56" i="74" s="1"/>
  <c r="D39" i="74"/>
  <c r="D57" i="74" s="1"/>
  <c r="D40" i="74"/>
  <c r="D58" i="74" s="1"/>
  <c r="K46" i="74"/>
  <c r="I49" i="74"/>
  <c r="I50" i="74" s="1"/>
  <c r="I51" i="74" s="1"/>
  <c r="I52" i="74" s="1"/>
  <c r="I53" i="74" s="1"/>
  <c r="I54" i="74" s="1"/>
  <c r="I55" i="74" s="1"/>
  <c r="I56" i="74" s="1"/>
  <c r="I57" i="74" s="1"/>
  <c r="I58" i="74" s="1"/>
  <c r="I60" i="74" s="1"/>
  <c r="E50" i="74"/>
  <c r="E51" i="74" s="1"/>
  <c r="E52" i="74" s="1"/>
  <c r="E53" i="74" s="1"/>
  <c r="E54" i="74" s="1"/>
  <c r="E55" i="74" s="1"/>
  <c r="E56" i="74" s="1"/>
  <c r="E57" i="74" s="1"/>
  <c r="E58" i="74" s="1"/>
  <c r="H60" i="74"/>
  <c r="K63" i="74"/>
  <c r="I66" i="74"/>
  <c r="I67" i="74" s="1"/>
  <c r="I68" i="74" s="1"/>
  <c r="I69" i="74" s="1"/>
  <c r="E67" i="74"/>
  <c r="E68" i="74"/>
  <c r="E69" i="74" s="1"/>
  <c r="E70" i="74" s="1"/>
  <c r="E71" i="74" s="1"/>
  <c r="E72" i="74" s="1"/>
  <c r="E73" i="74" s="1"/>
  <c r="E74" i="74" s="1"/>
  <c r="E75" i="74" s="1"/>
  <c r="K84" i="74"/>
  <c r="I87" i="74"/>
  <c r="I88" i="74" s="1"/>
  <c r="I89" i="74" s="1"/>
  <c r="I90" i="74" s="1"/>
  <c r="I91" i="74" s="1"/>
  <c r="E88" i="74"/>
  <c r="E89" i="74" s="1"/>
  <c r="E90" i="74"/>
  <c r="E91" i="74" s="1"/>
  <c r="E92" i="74" s="1"/>
  <c r="E93" i="74" s="1"/>
  <c r="E94" i="74" s="1"/>
  <c r="E95" i="74" s="1"/>
  <c r="E96" i="74" s="1"/>
  <c r="H106" i="74"/>
  <c r="D110" i="74"/>
  <c r="D111" i="74" s="1"/>
  <c r="G114" i="74"/>
  <c r="G115" i="74"/>
  <c r="G116" i="74"/>
  <c r="G117" i="74"/>
  <c r="G120" i="74"/>
  <c r="D1" i="48"/>
  <c r="D2" i="48"/>
  <c r="D3" i="48"/>
  <c r="D4" i="48"/>
  <c r="D5" i="48"/>
  <c r="D6" i="48"/>
  <c r="D7" i="48"/>
  <c r="D8" i="48" s="1"/>
  <c r="H24" i="48"/>
  <c r="I24" i="48"/>
  <c r="J24" i="48" s="1"/>
  <c r="K24" i="48"/>
  <c r="M24" i="48"/>
  <c r="O24" i="48"/>
  <c r="P24" i="48" s="1"/>
  <c r="Q24" i="48"/>
  <c r="R24" i="48" s="1"/>
  <c r="S24" i="48"/>
  <c r="U24" i="48"/>
  <c r="W24" i="48"/>
  <c r="X24" i="48" s="1"/>
  <c r="H27" i="48"/>
  <c r="X27" i="48" s="1"/>
  <c r="I27" i="48"/>
  <c r="K27" i="48"/>
  <c r="M27" i="48"/>
  <c r="N27" i="48"/>
  <c r="O27" i="48"/>
  <c r="Q27" i="48"/>
  <c r="S27" i="48"/>
  <c r="U27" i="48"/>
  <c r="V27" i="48" s="1"/>
  <c r="W27" i="48"/>
  <c r="H32" i="48"/>
  <c r="I32" i="48"/>
  <c r="K32" i="48"/>
  <c r="M32" i="48"/>
  <c r="O32" i="48"/>
  <c r="Q32" i="48"/>
  <c r="S32" i="48"/>
  <c r="U32" i="48"/>
  <c r="W32" i="48"/>
  <c r="X32" i="48"/>
  <c r="H35" i="48"/>
  <c r="I35" i="48"/>
  <c r="J35" i="48" s="1"/>
  <c r="K35" i="48"/>
  <c r="L35" i="48" s="1"/>
  <c r="M35" i="48"/>
  <c r="N35" i="48" s="1"/>
  <c r="O35" i="48"/>
  <c r="P35" i="48" s="1"/>
  <c r="Q35" i="48"/>
  <c r="R35" i="48" s="1"/>
  <c r="S35" i="48"/>
  <c r="T35" i="48" s="1"/>
  <c r="U35" i="48"/>
  <c r="V35" i="48"/>
  <c r="W35" i="48"/>
  <c r="X35" i="48" s="1"/>
  <c r="H39" i="48"/>
  <c r="J39" i="48" s="1"/>
  <c r="I39" i="48"/>
  <c r="K39" i="48"/>
  <c r="M39" i="48"/>
  <c r="N39" i="48" s="1"/>
  <c r="O39" i="48"/>
  <c r="Q39" i="48"/>
  <c r="S39" i="48"/>
  <c r="U39" i="48"/>
  <c r="W39" i="48"/>
  <c r="H42" i="48"/>
  <c r="I42" i="48"/>
  <c r="K42" i="48"/>
  <c r="L42" i="48" s="1"/>
  <c r="M42" i="48"/>
  <c r="O42" i="48"/>
  <c r="P42" i="48" s="1"/>
  <c r="Q42" i="48"/>
  <c r="S42" i="48"/>
  <c r="T42" i="48" s="1"/>
  <c r="U42" i="48"/>
  <c r="W42" i="48"/>
  <c r="X42" i="48" s="1"/>
  <c r="F44" i="48"/>
  <c r="C17" i="86"/>
  <c r="D1" i="75"/>
  <c r="D5" i="75"/>
  <c r="D6" i="74"/>
  <c r="D6" i="75"/>
  <c r="H152" i="68"/>
  <c r="AH152" i="68"/>
  <c r="D3" i="75"/>
  <c r="D3" i="74"/>
  <c r="D51" i="74"/>
  <c r="D68" i="74" s="1"/>
  <c r="D55" i="74"/>
  <c r="I39" i="75"/>
  <c r="G40" i="75"/>
  <c r="R42" i="48"/>
  <c r="V42" i="48"/>
  <c r="D50" i="74"/>
  <c r="D67" i="74" s="1"/>
  <c r="I95" i="75"/>
  <c r="E72" i="75"/>
  <c r="J52" i="69"/>
  <c r="I38" i="75"/>
  <c r="M77" i="75"/>
  <c r="M57" i="75"/>
  <c r="I37" i="75"/>
  <c r="AG189" i="68"/>
  <c r="AH189" i="68" s="1"/>
  <c r="AE189" i="68"/>
  <c r="H96" i="68"/>
  <c r="AB191" i="68"/>
  <c r="AB192" i="68"/>
  <c r="T191" i="68"/>
  <c r="T192" i="68"/>
  <c r="P191" i="68"/>
  <c r="P192" i="68"/>
  <c r="P194" i="68" s="1"/>
  <c r="L191" i="68"/>
  <c r="L192" i="68"/>
  <c r="H129" i="68"/>
  <c r="U129" i="68" s="1"/>
  <c r="H111" i="68"/>
  <c r="Z111" i="68"/>
  <c r="AA111" i="68"/>
  <c r="H68" i="68"/>
  <c r="H36" i="68"/>
  <c r="L183" i="68"/>
  <c r="H170" i="68"/>
  <c r="AH154" i="68"/>
  <c r="AH146" i="68"/>
  <c r="H80" i="68"/>
  <c r="AH80" i="68"/>
  <c r="I183" i="68"/>
  <c r="AB182" i="68"/>
  <c r="H92" i="68"/>
  <c r="W92" i="68" s="1"/>
  <c r="H88" i="68"/>
  <c r="V85" i="68"/>
  <c r="AG85" i="68" s="1"/>
  <c r="AH85" i="68" s="1"/>
  <c r="U73" i="68"/>
  <c r="V73" i="68"/>
  <c r="AE73" i="68" s="1"/>
  <c r="O56" i="68"/>
  <c r="H56" i="68"/>
  <c r="Q56" i="68"/>
  <c r="N56" i="68"/>
  <c r="AG56" i="68" s="1"/>
  <c r="AH56" i="68" s="1"/>
  <c r="S56" i="68"/>
  <c r="W93" i="68"/>
  <c r="AE93" i="68" s="1"/>
  <c r="V89" i="68"/>
  <c r="AE89" i="68" s="1"/>
  <c r="W89" i="68"/>
  <c r="AH22" i="68"/>
  <c r="AH107" i="68"/>
  <c r="Y99" i="68"/>
  <c r="Y98" i="68"/>
  <c r="H61" i="68"/>
  <c r="AE111" i="68"/>
  <c r="I55" i="75"/>
  <c r="AE85" i="68"/>
  <c r="AB183" i="68"/>
  <c r="AB184" i="68"/>
  <c r="W88" i="68"/>
  <c r="V88" i="68"/>
  <c r="L194" i="68"/>
  <c r="E73" i="75"/>
  <c r="T194" i="68"/>
  <c r="AB194" i="68"/>
  <c r="G41" i="75"/>
  <c r="G42" i="75" s="1"/>
  <c r="M41" i="75"/>
  <c r="AG88" i="68"/>
  <c r="AH88" i="68" s="1"/>
  <c r="D5" i="74"/>
  <c r="D1" i="74"/>
  <c r="Z101" i="68" l="1"/>
  <c r="Y101" i="68"/>
  <c r="AG101" i="68" s="1"/>
  <c r="AH101" i="68" s="1"/>
  <c r="V87" i="68"/>
  <c r="U87" i="68"/>
  <c r="V92" i="68"/>
  <c r="AG92" i="68" s="1"/>
  <c r="AH92" i="68" s="1"/>
  <c r="Q61" i="68"/>
  <c r="M72" i="75"/>
  <c r="I40" i="75"/>
  <c r="S184" i="68"/>
  <c r="S186" i="68" s="1"/>
  <c r="AG170" i="68"/>
  <c r="AH170" i="68" s="1"/>
  <c r="AH163" i="68"/>
  <c r="AH128" i="68"/>
  <c r="AD118" i="68"/>
  <c r="AB108" i="68"/>
  <c r="AH52" i="68"/>
  <c r="L32" i="69"/>
  <c r="AE182" i="68"/>
  <c r="AE184" i="68" s="1"/>
  <c r="I73" i="75"/>
  <c r="V129" i="68"/>
  <c r="AC119" i="68"/>
  <c r="AE190" i="68"/>
  <c r="AE191" i="68" s="1"/>
  <c r="J174" i="68"/>
  <c r="R39" i="48"/>
  <c r="N32" i="48"/>
  <c r="R27" i="48"/>
  <c r="L27" i="48"/>
  <c r="V24" i="48"/>
  <c r="N24" i="48"/>
  <c r="I93" i="75"/>
  <c r="M80" i="75"/>
  <c r="M74" i="75"/>
  <c r="I186" i="68"/>
  <c r="J186" i="68"/>
  <c r="AH139" i="68"/>
  <c r="AC118" i="68"/>
  <c r="AH109" i="68"/>
  <c r="AH21" i="68"/>
  <c r="AH17" i="68"/>
  <c r="AH16" i="68"/>
  <c r="I72" i="75"/>
  <c r="R61" i="68"/>
  <c r="I71" i="75"/>
  <c r="L71" i="75" s="1"/>
  <c r="N42" i="48"/>
  <c r="X39" i="48"/>
  <c r="X44" i="48" s="1"/>
  <c r="G49" i="69" s="1"/>
  <c r="T32" i="48"/>
  <c r="L32" i="48"/>
  <c r="T24" i="48"/>
  <c r="L24" i="48"/>
  <c r="M95" i="75"/>
  <c r="M39" i="75"/>
  <c r="Y192" i="68"/>
  <c r="Y194" i="68" s="1"/>
  <c r="AA184" i="68"/>
  <c r="T173" i="68"/>
  <c r="T176" i="68" s="1"/>
  <c r="H53" i="68"/>
  <c r="D16" i="86"/>
  <c r="D15" i="86"/>
  <c r="D14" i="86"/>
  <c r="V91" i="68"/>
  <c r="W91" i="68"/>
  <c r="G61" i="75"/>
  <c r="M60" i="75"/>
  <c r="G43" i="75"/>
  <c r="M42" i="75"/>
  <c r="AE87" i="68"/>
  <c r="AE129" i="68"/>
  <c r="AG129" i="68"/>
  <c r="AH129" i="68" s="1"/>
  <c r="E57" i="75"/>
  <c r="I56" i="75"/>
  <c r="J50" i="69"/>
  <c r="H50" i="69"/>
  <c r="L50" i="69" s="1"/>
  <c r="AC183" i="68"/>
  <c r="AC186" i="68" s="1"/>
  <c r="K174" i="68"/>
  <c r="K173" i="68"/>
  <c r="H112" i="68"/>
  <c r="AA112" i="68"/>
  <c r="AB172" i="68"/>
  <c r="H104" i="68"/>
  <c r="AH104" i="68"/>
  <c r="W97" i="68"/>
  <c r="X97" i="68"/>
  <c r="Q58" i="68"/>
  <c r="R58" i="68"/>
  <c r="H31" i="68"/>
  <c r="AH31" i="68"/>
  <c r="H15" i="68"/>
  <c r="F172" i="68"/>
  <c r="E74" i="75"/>
  <c r="AE192" i="68"/>
  <c r="Z100" i="68"/>
  <c r="AE100" i="68" s="1"/>
  <c r="AG135" i="68"/>
  <c r="AH135" i="68" s="1"/>
  <c r="AH162" i="68"/>
  <c r="L72" i="75"/>
  <c r="L73" i="75" s="1"/>
  <c r="L74" i="75" s="1"/>
  <c r="H92" i="74"/>
  <c r="L93" i="75"/>
  <c r="W192" i="68"/>
  <c r="W191" i="68"/>
  <c r="W194" i="68" s="1"/>
  <c r="S191" i="68"/>
  <c r="S192" i="68"/>
  <c r="O191" i="68"/>
  <c r="O194" i="68"/>
  <c r="H194" i="68"/>
  <c r="AH145" i="68"/>
  <c r="H126" i="68"/>
  <c r="AH126" i="68"/>
  <c r="AA114" i="68"/>
  <c r="H114" i="68"/>
  <c r="AG87" i="68"/>
  <c r="AH87" i="68" s="1"/>
  <c r="AB186" i="68"/>
  <c r="AH26" i="68"/>
  <c r="H44" i="68"/>
  <c r="H191" i="68"/>
  <c r="I54" i="75"/>
  <c r="L54" i="75" s="1"/>
  <c r="L55" i="75" s="1"/>
  <c r="L56" i="75" s="1"/>
  <c r="L57" i="75" s="1"/>
  <c r="M59" i="75"/>
  <c r="M55" i="75"/>
  <c r="E41" i="75"/>
  <c r="M38" i="75"/>
  <c r="K46" i="75"/>
  <c r="H51" i="69"/>
  <c r="L51" i="69" s="1"/>
  <c r="J51" i="69"/>
  <c r="U183" i="68"/>
  <c r="U184" i="68"/>
  <c r="M184" i="68"/>
  <c r="M183" i="68"/>
  <c r="M176" i="68"/>
  <c r="M173" i="68"/>
  <c r="AH157" i="68"/>
  <c r="AE133" i="68"/>
  <c r="AG133" i="68"/>
  <c r="AH133" i="68" s="1"/>
  <c r="X172" i="68"/>
  <c r="AH83" i="68"/>
  <c r="AH78" i="68"/>
  <c r="AH71" i="68"/>
  <c r="AH68" i="68"/>
  <c r="O54" i="68"/>
  <c r="N54" i="68"/>
  <c r="AH50" i="68"/>
  <c r="AH36" i="68"/>
  <c r="AH15" i="68"/>
  <c r="H164" i="68"/>
  <c r="AH164" i="68"/>
  <c r="H147" i="68"/>
  <c r="AH147" i="68"/>
  <c r="H138" i="68"/>
  <c r="AH138" i="68"/>
  <c r="AE118" i="68"/>
  <c r="AD116" i="68"/>
  <c r="AC116" i="68"/>
  <c r="H67" i="68"/>
  <c r="AH67" i="68"/>
  <c r="H55" i="68"/>
  <c r="O55" i="68"/>
  <c r="AE101" i="68"/>
  <c r="Z112" i="68"/>
  <c r="X192" i="68"/>
  <c r="X194" i="68" s="1"/>
  <c r="G34" i="74"/>
  <c r="D52" i="74"/>
  <c r="G52" i="74" s="1"/>
  <c r="AG182" i="68"/>
  <c r="AH182" i="68" s="1"/>
  <c r="AE92" i="68"/>
  <c r="H58" i="68"/>
  <c r="AH64" i="68"/>
  <c r="G38" i="74"/>
  <c r="H38" i="74" s="1"/>
  <c r="T39" i="48"/>
  <c r="G33" i="74"/>
  <c r="Z192" i="68"/>
  <c r="Z194" i="68" s="1"/>
  <c r="Q191" i="68"/>
  <c r="Q192" i="68"/>
  <c r="J191" i="68"/>
  <c r="J194" i="68"/>
  <c r="J192" i="68"/>
  <c r="L186" i="68"/>
  <c r="F183" i="68"/>
  <c r="F186" i="68" s="1"/>
  <c r="Y183" i="68"/>
  <c r="Y184" i="68"/>
  <c r="AH167" i="68"/>
  <c r="AH155" i="68"/>
  <c r="AH150" i="68"/>
  <c r="AH105" i="68"/>
  <c r="H97" i="68"/>
  <c r="V97" i="68" s="1"/>
  <c r="H82" i="68"/>
  <c r="AH82" i="68"/>
  <c r="O62" i="68"/>
  <c r="P62" i="68"/>
  <c r="H49" i="68"/>
  <c r="AH49" i="68"/>
  <c r="H43" i="68"/>
  <c r="AH43" i="68"/>
  <c r="AH32" i="68"/>
  <c r="AG89" i="68"/>
  <c r="AH89" i="68" s="1"/>
  <c r="AG111" i="68"/>
  <c r="AH111" i="68" s="1"/>
  <c r="J176" i="68"/>
  <c r="V39" i="48"/>
  <c r="P39" i="48"/>
  <c r="P32" i="48"/>
  <c r="T27" i="48"/>
  <c r="T44" i="48" s="1"/>
  <c r="G47" i="69" s="1"/>
  <c r="J47" i="69" s="1"/>
  <c r="G36" i="74"/>
  <c r="L70" i="69"/>
  <c r="AH130" i="68"/>
  <c r="AH70" i="68"/>
  <c r="Q53" i="68"/>
  <c r="AH48" i="68"/>
  <c r="AH47" i="68"/>
  <c r="AH37" i="68"/>
  <c r="AH34" i="68"/>
  <c r="AH33" i="68"/>
  <c r="AH25" i="68"/>
  <c r="AH24" i="68"/>
  <c r="AH14" i="68"/>
  <c r="AE56" i="68"/>
  <c r="L39" i="48"/>
  <c r="L44" i="48" s="1"/>
  <c r="P27" i="48"/>
  <c r="P44" i="48" s="1"/>
  <c r="G45" i="69" s="1"/>
  <c r="J27" i="48"/>
  <c r="G37" i="74"/>
  <c r="G32" i="74"/>
  <c r="M79" i="75"/>
  <c r="M54" i="75"/>
  <c r="M65" i="75" s="1"/>
  <c r="AA186" i="68"/>
  <c r="AH144" i="68"/>
  <c r="AG118" i="68"/>
  <c r="AH118" i="68" s="1"/>
  <c r="AH81" i="68"/>
  <c r="AH42" i="68"/>
  <c r="AH30" i="68"/>
  <c r="G39" i="74"/>
  <c r="H39" i="74" s="1"/>
  <c r="G122" i="74" s="1"/>
  <c r="D49" i="74"/>
  <c r="D66" i="74" s="1"/>
  <c r="D87" i="74" s="1"/>
  <c r="G87" i="74" s="1"/>
  <c r="L87" i="74" s="1"/>
  <c r="D54" i="74"/>
  <c r="G54" i="74" s="1"/>
  <c r="G55" i="74"/>
  <c r="D72" i="74"/>
  <c r="G72" i="74" s="1"/>
  <c r="D69" i="74"/>
  <c r="G69" i="74" s="1"/>
  <c r="D73" i="74"/>
  <c r="G73" i="74" s="1"/>
  <c r="G56" i="74"/>
  <c r="G68" i="74"/>
  <c r="D89" i="74"/>
  <c r="G89" i="74" s="1"/>
  <c r="G50" i="74"/>
  <c r="D75" i="74"/>
  <c r="D96" i="74" s="1"/>
  <c r="G96" i="74" s="1"/>
  <c r="G58" i="74"/>
  <c r="D88" i="74"/>
  <c r="G88" i="74" s="1"/>
  <c r="G67" i="74"/>
  <c r="D74" i="74"/>
  <c r="G57" i="74"/>
  <c r="G121" i="74"/>
  <c r="I38" i="74"/>
  <c r="I39" i="74" s="1"/>
  <c r="H42" i="74"/>
  <c r="I120" i="75"/>
  <c r="G40" i="74"/>
  <c r="H40" i="74" s="1"/>
  <c r="G123" i="74" s="1"/>
  <c r="M94" i="75"/>
  <c r="D2" i="75"/>
  <c r="I122" i="75"/>
  <c r="M73" i="75"/>
  <c r="AE194" i="68"/>
  <c r="AG100" i="68"/>
  <c r="AH100" i="68" s="1"/>
  <c r="Y172" i="68"/>
  <c r="W96" i="68"/>
  <c r="V96" i="68"/>
  <c r="AE88" i="68"/>
  <c r="AG93" i="68"/>
  <c r="AH93" i="68" s="1"/>
  <c r="AG73" i="68"/>
  <c r="AH73" i="68" s="1"/>
  <c r="AE183" i="68"/>
  <c r="AE186" i="68" s="1"/>
  <c r="J45" i="69"/>
  <c r="H45" i="69"/>
  <c r="I45" i="69" s="1"/>
  <c r="G51" i="74"/>
  <c r="D4" i="74"/>
  <c r="D4" i="75"/>
  <c r="E97" i="75"/>
  <c r="I96" i="75"/>
  <c r="D2" i="74"/>
  <c r="D13" i="86"/>
  <c r="Z183" i="68"/>
  <c r="Z184" i="68"/>
  <c r="Z186" i="68" s="1"/>
  <c r="W183" i="68"/>
  <c r="W186" i="68" s="1"/>
  <c r="W184" i="68"/>
  <c r="X173" i="68"/>
  <c r="X174" i="68"/>
  <c r="R32" i="48"/>
  <c r="R44" i="48" s="1"/>
  <c r="G46" i="69" s="1"/>
  <c r="N44" i="48"/>
  <c r="M56" i="75"/>
  <c r="K194" i="68"/>
  <c r="AD183" i="68"/>
  <c r="AD184" i="68"/>
  <c r="H183" i="68"/>
  <c r="H184" i="68"/>
  <c r="V32" i="48"/>
  <c r="K105" i="74"/>
  <c r="L94" i="75"/>
  <c r="L95" i="75" s="1"/>
  <c r="L96" i="75" s="1"/>
  <c r="M46" i="75"/>
  <c r="AC192" i="68"/>
  <c r="AC194" i="68" s="1"/>
  <c r="R192" i="68"/>
  <c r="R191" i="68"/>
  <c r="Q183" i="68"/>
  <c r="Q184" i="68"/>
  <c r="N183" i="68"/>
  <c r="N184" i="68"/>
  <c r="K183" i="68"/>
  <c r="K184" i="68"/>
  <c r="J42" i="48"/>
  <c r="J32" i="48"/>
  <c r="G99" i="75"/>
  <c r="M98" i="75"/>
  <c r="M71" i="75"/>
  <c r="M82" i="75" s="1"/>
  <c r="L36" i="75"/>
  <c r="L37" i="75" s="1"/>
  <c r="L38" i="75" s="1"/>
  <c r="L39" i="75" s="1"/>
  <c r="L40" i="75" s="1"/>
  <c r="L41" i="75" s="1"/>
  <c r="L42" i="75" s="1"/>
  <c r="L43" i="75" s="1"/>
  <c r="L44" i="75" s="1"/>
  <c r="AA192" i="68"/>
  <c r="AA191" i="68"/>
  <c r="AA194" i="68" s="1"/>
  <c r="U191" i="68"/>
  <c r="U192" i="68"/>
  <c r="M191" i="68"/>
  <c r="M194" i="68" s="1"/>
  <c r="T183" i="68"/>
  <c r="T184" i="68"/>
  <c r="AD192" i="68"/>
  <c r="AD194" i="68" s="1"/>
  <c r="N192" i="68"/>
  <c r="N194" i="68" s="1"/>
  <c r="V194" i="68"/>
  <c r="O184" i="68"/>
  <c r="O186" i="68" s="1"/>
  <c r="X183" i="68"/>
  <c r="X186" i="68" s="1"/>
  <c r="AE179" i="68"/>
  <c r="AG179" i="68"/>
  <c r="AH179" i="68" s="1"/>
  <c r="L174" i="68"/>
  <c r="L176" i="68" s="1"/>
  <c r="U75" i="68"/>
  <c r="V75" i="68"/>
  <c r="I194" i="68"/>
  <c r="V74" i="68"/>
  <c r="U74" i="68"/>
  <c r="G173" i="68"/>
  <c r="G174" i="68"/>
  <c r="G176" i="68" s="1"/>
  <c r="G196" i="68" s="1"/>
  <c r="S124" i="68"/>
  <c r="AD119" i="68"/>
  <c r="AD117" i="68"/>
  <c r="AD172" i="68" s="1"/>
  <c r="H116" i="68"/>
  <c r="AA108" i="68"/>
  <c r="N62" i="68"/>
  <c r="P61" i="68"/>
  <c r="R60" i="68"/>
  <c r="N60" i="68"/>
  <c r="S55" i="68"/>
  <c r="N55" i="68"/>
  <c r="H54" i="68"/>
  <c r="S53" i="68"/>
  <c r="AG53" i="68" s="1"/>
  <c r="AH53" i="68" s="1"/>
  <c r="I174" i="68"/>
  <c r="AG132" i="68"/>
  <c r="AH132" i="68" s="1"/>
  <c r="R124" i="68"/>
  <c r="AC117" i="68"/>
  <c r="H99" i="68"/>
  <c r="Z99" i="68" s="1"/>
  <c r="AG99" i="68" s="1"/>
  <c r="AH99" i="68" s="1"/>
  <c r="H98" i="68"/>
  <c r="Z98" i="68" s="1"/>
  <c r="AG98" i="68" s="1"/>
  <c r="AH98" i="68" s="1"/>
  <c r="W94" i="68"/>
  <c r="W90" i="68"/>
  <c r="W172" i="68" s="1"/>
  <c r="U86" i="68"/>
  <c r="R62" i="68"/>
  <c r="H62" i="68"/>
  <c r="O61" i="68"/>
  <c r="Q60" i="68"/>
  <c r="H60" i="68"/>
  <c r="Q55" i="68"/>
  <c r="Q62" i="68"/>
  <c r="P60" i="68"/>
  <c r="H49" i="69" l="1"/>
  <c r="L49" i="69" s="1"/>
  <c r="J49" i="69"/>
  <c r="X176" i="68"/>
  <c r="AD186" i="68"/>
  <c r="U186" i="68"/>
  <c r="K176" i="68"/>
  <c r="AE53" i="68"/>
  <c r="AE116" i="68"/>
  <c r="E14" i="86"/>
  <c r="E16" i="86"/>
  <c r="G16" i="86" s="1"/>
  <c r="E15" i="86"/>
  <c r="AG114" i="68"/>
  <c r="AH114" i="68" s="1"/>
  <c r="AE114" i="68"/>
  <c r="K97" i="75"/>
  <c r="H98" i="74"/>
  <c r="AG116" i="68"/>
  <c r="AH116" i="68" s="1"/>
  <c r="J196" i="68"/>
  <c r="AG97" i="68"/>
  <c r="AH97" i="68" s="1"/>
  <c r="AE97" i="68"/>
  <c r="AE54" i="68"/>
  <c r="AG54" i="68"/>
  <c r="AH54" i="68" s="1"/>
  <c r="AE58" i="68"/>
  <c r="AG58" i="68"/>
  <c r="AH58" i="68" s="1"/>
  <c r="I92" i="74"/>
  <c r="I93" i="74" s="1"/>
  <c r="I94" i="74" s="1"/>
  <c r="I95" i="74" s="1"/>
  <c r="I96" i="74" s="1"/>
  <c r="I98" i="74" s="1"/>
  <c r="G62" i="75"/>
  <c r="M61" i="75"/>
  <c r="H172" i="68"/>
  <c r="R172" i="68"/>
  <c r="V172" i="68"/>
  <c r="V174" i="68" s="1"/>
  <c r="L196" i="68"/>
  <c r="Q186" i="68"/>
  <c r="V44" i="48"/>
  <c r="G48" i="69" s="1"/>
  <c r="G49" i="74"/>
  <c r="Y186" i="68"/>
  <c r="Q194" i="68"/>
  <c r="AE112" i="68"/>
  <c r="AG112" i="68"/>
  <c r="AH112" i="68" s="1"/>
  <c r="M186" i="68"/>
  <c r="M196" i="68" s="1"/>
  <c r="M197" i="68" s="1"/>
  <c r="M199" i="68" s="1"/>
  <c r="E42" i="75"/>
  <c r="I41" i="75"/>
  <c r="AB176" i="68"/>
  <c r="AB196" i="68" s="1"/>
  <c r="AB173" i="68"/>
  <c r="AB174" i="68"/>
  <c r="F174" i="68"/>
  <c r="F173" i="68"/>
  <c r="I57" i="75"/>
  <c r="E58" i="75"/>
  <c r="I125" i="75"/>
  <c r="P172" i="68"/>
  <c r="P174" i="68" s="1"/>
  <c r="T186" i="68"/>
  <c r="T196" i="68" s="1"/>
  <c r="N186" i="68"/>
  <c r="H47" i="69"/>
  <c r="L47" i="69" s="1"/>
  <c r="S194" i="68"/>
  <c r="I74" i="75"/>
  <c r="E75" i="75"/>
  <c r="M43" i="75"/>
  <c r="G44" i="75"/>
  <c r="M44" i="75" s="1"/>
  <c r="AE91" i="68"/>
  <c r="AG91" i="68"/>
  <c r="AH91" i="68" s="1"/>
  <c r="G66" i="74"/>
  <c r="D90" i="74"/>
  <c r="G90" i="74" s="1"/>
  <c r="D71" i="74"/>
  <c r="D93" i="74"/>
  <c r="G93" i="74" s="1"/>
  <c r="D94" i="74"/>
  <c r="G94" i="74" s="1"/>
  <c r="I121" i="75"/>
  <c r="G75" i="74"/>
  <c r="I40" i="74"/>
  <c r="I42" i="74" s="1"/>
  <c r="D95" i="74"/>
  <c r="G95" i="74" s="1"/>
  <c r="G74" i="74"/>
  <c r="H173" i="68"/>
  <c r="H174" i="68"/>
  <c r="L197" i="68"/>
  <c r="L199" i="68" s="1"/>
  <c r="T197" i="68"/>
  <c r="T199" i="68" s="1"/>
  <c r="P173" i="68"/>
  <c r="W174" i="68"/>
  <c r="W173" i="68"/>
  <c r="AE86" i="68"/>
  <c r="AG86" i="68"/>
  <c r="AH86" i="68" s="1"/>
  <c r="R173" i="68"/>
  <c r="G197" i="68"/>
  <c r="G199" i="68" s="1"/>
  <c r="AE74" i="68"/>
  <c r="AG74" i="68"/>
  <c r="AH74" i="68" s="1"/>
  <c r="AE75" i="68"/>
  <c r="AG75" i="68"/>
  <c r="AH75" i="68" s="1"/>
  <c r="I97" i="75"/>
  <c r="E98" i="75"/>
  <c r="U172" i="68"/>
  <c r="AG61" i="68"/>
  <c r="AH61" i="68" s="1"/>
  <c r="AE61" i="68"/>
  <c r="O172" i="68"/>
  <c r="AG90" i="68"/>
  <c r="AH90" i="68" s="1"/>
  <c r="AE90" i="68"/>
  <c r="AG55" i="68"/>
  <c r="AH55" i="68" s="1"/>
  <c r="N172" i="68"/>
  <c r="AE55" i="68"/>
  <c r="V173" i="68"/>
  <c r="U194" i="68"/>
  <c r="G100" i="75"/>
  <c r="M99" i="75"/>
  <c r="AG184" i="68"/>
  <c r="AH184" i="68" s="1"/>
  <c r="X196" i="68"/>
  <c r="AE99" i="68"/>
  <c r="AB197" i="68"/>
  <c r="AB199" i="68" s="1"/>
  <c r="Q172" i="68"/>
  <c r="AE94" i="68"/>
  <c r="AG94" i="68"/>
  <c r="AH94" i="68" s="1"/>
  <c r="AG117" i="68"/>
  <c r="AH117" i="68" s="1"/>
  <c r="AE117" i="68"/>
  <c r="AC172" i="68"/>
  <c r="I176" i="68"/>
  <c r="AG62" i="68"/>
  <c r="AH62" i="68" s="1"/>
  <c r="AE62" i="68"/>
  <c r="AD173" i="68"/>
  <c r="AD174" i="68"/>
  <c r="K186" i="68"/>
  <c r="R194" i="68"/>
  <c r="M106" i="75"/>
  <c r="J133" i="75" s="1"/>
  <c r="J136" i="75" s="1"/>
  <c r="J48" i="69"/>
  <c r="H48" i="69"/>
  <c r="L48" i="69" s="1"/>
  <c r="J46" i="69"/>
  <c r="H46" i="69"/>
  <c r="I46" i="69" s="1"/>
  <c r="Y173" i="68"/>
  <c r="Y174" i="68"/>
  <c r="Z172" i="68"/>
  <c r="AE98" i="68"/>
  <c r="AE124" i="68"/>
  <c r="AG124" i="68"/>
  <c r="AH124" i="68" s="1"/>
  <c r="S172" i="68"/>
  <c r="AE60" i="68"/>
  <c r="AG60" i="68"/>
  <c r="AH60" i="68" s="1"/>
  <c r="AA172" i="68"/>
  <c r="AG108" i="68"/>
  <c r="AH108" i="68" s="1"/>
  <c r="AE108" i="68"/>
  <c r="AE119" i="68"/>
  <c r="AG119" i="68"/>
  <c r="AH119" i="68" s="1"/>
  <c r="J44" i="48"/>
  <c r="AG183" i="68"/>
  <c r="AH183" i="68" s="1"/>
  <c r="I119" i="75"/>
  <c r="H186" i="68"/>
  <c r="D17" i="86"/>
  <c r="E13" i="86"/>
  <c r="L45" i="69"/>
  <c r="K45" i="69"/>
  <c r="K46" i="69" s="1"/>
  <c r="K47" i="69" s="1"/>
  <c r="K48" i="69" s="1"/>
  <c r="K49" i="69" s="1"/>
  <c r="K50" i="69" s="1"/>
  <c r="K51" i="69" s="1"/>
  <c r="K52" i="69" s="1"/>
  <c r="K53" i="69" s="1"/>
  <c r="K54" i="69" s="1"/>
  <c r="K55" i="69" s="1"/>
  <c r="K56" i="69" s="1"/>
  <c r="AG96" i="68"/>
  <c r="AH96" i="68" s="1"/>
  <c r="AE96" i="68"/>
  <c r="AD176" i="68" l="1"/>
  <c r="AD196" i="68" s="1"/>
  <c r="H176" i="68"/>
  <c r="V176" i="68"/>
  <c r="V196" i="68" s="1"/>
  <c r="F176" i="68"/>
  <c r="F196" i="68" s="1"/>
  <c r="F197" i="68" s="1"/>
  <c r="F199" i="68" s="1"/>
  <c r="G201" i="68" s="1"/>
  <c r="G14" i="86"/>
  <c r="G15" i="86"/>
  <c r="H196" i="68"/>
  <c r="H197" i="68" s="1"/>
  <c r="H199" i="68" s="1"/>
  <c r="H201" i="68" s="1"/>
  <c r="G63" i="75"/>
  <c r="M63" i="75" s="1"/>
  <c r="M62" i="75"/>
  <c r="J197" i="68"/>
  <c r="J199" i="68"/>
  <c r="J201" i="68" s="1"/>
  <c r="Y176" i="68"/>
  <c r="Y196" i="68" s="1"/>
  <c r="R174" i="68"/>
  <c r="R176" i="68" s="1"/>
  <c r="R196" i="68" s="1"/>
  <c r="I42" i="75"/>
  <c r="E43" i="75"/>
  <c r="M97" i="75"/>
  <c r="K103" i="75"/>
  <c r="P176" i="68"/>
  <c r="P196" i="68" s="1"/>
  <c r="I75" i="75"/>
  <c r="E76" i="75"/>
  <c r="E59" i="75"/>
  <c r="I58" i="75"/>
  <c r="W176" i="68"/>
  <c r="W196" i="68" s="1"/>
  <c r="W197" i="68" s="1"/>
  <c r="W199" i="68" s="1"/>
  <c r="L97" i="75"/>
  <c r="L98" i="75" s="1"/>
  <c r="L99" i="75" s="1"/>
  <c r="L100" i="75" s="1"/>
  <c r="L101" i="75" s="1"/>
  <c r="D92" i="74"/>
  <c r="G92" i="74" s="1"/>
  <c r="G71" i="74"/>
  <c r="V197" i="68"/>
  <c r="V199" i="68" s="1"/>
  <c r="T201" i="68"/>
  <c r="AB201" i="68"/>
  <c r="L201" i="68"/>
  <c r="AD197" i="68"/>
  <c r="AD199" i="68" s="1"/>
  <c r="Y197" i="68"/>
  <c r="Y199" i="68" s="1"/>
  <c r="P197" i="68"/>
  <c r="P199" i="68"/>
  <c r="M201" i="68"/>
  <c r="AA173" i="68"/>
  <c r="AA174" i="68"/>
  <c r="AA176" i="68" s="1"/>
  <c r="AA196" i="68" s="1"/>
  <c r="Q174" i="68"/>
  <c r="Q176" i="68" s="1"/>
  <c r="Q196" i="68" s="1"/>
  <c r="Q173" i="68"/>
  <c r="G101" i="75"/>
  <c r="M101" i="75" s="1"/>
  <c r="M100" i="75"/>
  <c r="E99" i="75"/>
  <c r="I98" i="75"/>
  <c r="G13" i="86"/>
  <c r="I130" i="75"/>
  <c r="J119" i="75"/>
  <c r="J120" i="75" s="1"/>
  <c r="J121" i="75" s="1"/>
  <c r="J122" i="75" s="1"/>
  <c r="X197" i="68"/>
  <c r="X199" i="68" s="1"/>
  <c r="U174" i="68"/>
  <c r="U173" i="68"/>
  <c r="U176" i="68" s="1"/>
  <c r="U196" i="68" s="1"/>
  <c r="I47" i="69"/>
  <c r="I48" i="69" s="1"/>
  <c r="I49" i="69" s="1"/>
  <c r="I50" i="69" s="1"/>
  <c r="I51" i="69" s="1"/>
  <c r="I52" i="69" s="1"/>
  <c r="I53" i="69" s="1"/>
  <c r="I54" i="69" s="1"/>
  <c r="I55" i="69" s="1"/>
  <c r="I56" i="69" s="1"/>
  <c r="I57" i="69" s="1"/>
  <c r="L46" i="69"/>
  <c r="I196" i="68"/>
  <c r="AE172" i="68"/>
  <c r="AG172" i="68"/>
  <c r="AH172" i="68" s="1"/>
  <c r="N173" i="68"/>
  <c r="N174" i="68"/>
  <c r="O173" i="68"/>
  <c r="O174" i="68"/>
  <c r="O176" i="68" s="1"/>
  <c r="O196" i="68" s="1"/>
  <c r="F17" i="86"/>
  <c r="I17" i="86"/>
  <c r="M45" i="69"/>
  <c r="M46" i="69" s="1"/>
  <c r="M47" i="69" s="1"/>
  <c r="M48" i="69" s="1"/>
  <c r="M49" i="69" s="1"/>
  <c r="M50" i="69" s="1"/>
  <c r="M51" i="69" s="1"/>
  <c r="M52" i="69" s="1"/>
  <c r="M53" i="69" s="1"/>
  <c r="M54" i="69" s="1"/>
  <c r="M55" i="69" s="1"/>
  <c r="M56" i="69" s="1"/>
  <c r="M57" i="69" s="1"/>
  <c r="L59" i="69"/>
  <c r="L63" i="69" s="1"/>
  <c r="L68" i="69" s="1"/>
  <c r="L72" i="69" s="1"/>
  <c r="S173" i="68"/>
  <c r="S174" i="68"/>
  <c r="Z173" i="68"/>
  <c r="Z174" i="68"/>
  <c r="Z176" i="68" s="1"/>
  <c r="Z196" i="68" s="1"/>
  <c r="K196" i="68"/>
  <c r="AG186" i="68"/>
  <c r="AH186" i="68" s="1"/>
  <c r="AC173" i="68"/>
  <c r="AC174" i="68"/>
  <c r="AC176" i="68" s="1"/>
  <c r="AC196" i="68" s="1"/>
  <c r="AE202" i="68" l="1"/>
  <c r="AD202" i="68"/>
  <c r="N176" i="68"/>
  <c r="H16" i="86"/>
  <c r="H14" i="86"/>
  <c r="H15" i="86"/>
  <c r="S176" i="68"/>
  <c r="S196" i="68" s="1"/>
  <c r="S199" i="68" s="1"/>
  <c r="E77" i="75"/>
  <c r="I76" i="75"/>
  <c r="E44" i="75"/>
  <c r="I44" i="75" s="1"/>
  <c r="I43" i="75"/>
  <c r="E60" i="75"/>
  <c r="I59" i="75"/>
  <c r="AA197" i="68"/>
  <c r="AA199" i="68" s="1"/>
  <c r="S197" i="68"/>
  <c r="U197" i="68"/>
  <c r="U199" i="68" s="1"/>
  <c r="AC197" i="68"/>
  <c r="AC199" i="68" s="1"/>
  <c r="Z197" i="68"/>
  <c r="Z199" i="68" s="1"/>
  <c r="N196" i="68"/>
  <c r="AE196" i="68" s="1"/>
  <c r="AE199" i="68" s="1"/>
  <c r="Q197" i="68"/>
  <c r="Q199" i="68" s="1"/>
  <c r="Y201" i="68"/>
  <c r="AD201" i="68"/>
  <c r="W201" i="68"/>
  <c r="AE173" i="68"/>
  <c r="AE174" i="68"/>
  <c r="I197" i="68"/>
  <c r="I199" i="68" s="1"/>
  <c r="K197" i="68"/>
  <c r="K199" i="68" s="1"/>
  <c r="O197" i="68"/>
  <c r="O199" i="68" s="1"/>
  <c r="AG174" i="68"/>
  <c r="AH174" i="68" s="1"/>
  <c r="J17" i="86"/>
  <c r="C75" i="75"/>
  <c r="J75" i="75" s="1"/>
  <c r="K75" i="75" s="1"/>
  <c r="C96" i="75"/>
  <c r="J96" i="75" s="1"/>
  <c r="C39" i="75"/>
  <c r="J39" i="75" s="1"/>
  <c r="C58" i="75"/>
  <c r="J58" i="75" s="1"/>
  <c r="K58" i="75" s="1"/>
  <c r="D35" i="74"/>
  <c r="AG173" i="68"/>
  <c r="AH173" i="68" s="1"/>
  <c r="R197" i="68"/>
  <c r="R199" i="68" s="1"/>
  <c r="H13" i="86"/>
  <c r="G17" i="86"/>
  <c r="P201" i="68"/>
  <c r="V201" i="68"/>
  <c r="X201" i="68"/>
  <c r="I99" i="75"/>
  <c r="E100" i="75"/>
  <c r="AE176" i="68" l="1"/>
  <c r="E78" i="75"/>
  <c r="I77" i="75"/>
  <c r="AG176" i="68"/>
  <c r="AH176" i="68" s="1"/>
  <c r="I60" i="75"/>
  <c r="E61" i="75"/>
  <c r="AC201" i="68"/>
  <c r="R201" i="68"/>
  <c r="O201" i="68"/>
  <c r="K201" i="68"/>
  <c r="I201" i="68"/>
  <c r="I200" i="68"/>
  <c r="J200" i="68" s="1"/>
  <c r="K200" i="68" s="1"/>
  <c r="L200" i="68" s="1"/>
  <c r="M200" i="68" s="1"/>
  <c r="Z201" i="68"/>
  <c r="U201" i="68"/>
  <c r="G35" i="74"/>
  <c r="D53" i="74"/>
  <c r="D42" i="74"/>
  <c r="M58" i="75"/>
  <c r="K65" i="75"/>
  <c r="L58" i="75"/>
  <c r="L59" i="75" s="1"/>
  <c r="L60" i="75" s="1"/>
  <c r="L61" i="75" s="1"/>
  <c r="L62" i="75" s="1"/>
  <c r="L63" i="75" s="1"/>
  <c r="M75" i="75"/>
  <c r="L75" i="75"/>
  <c r="AA201" i="68"/>
  <c r="I100" i="75"/>
  <c r="E101" i="75"/>
  <c r="I101" i="75" s="1"/>
  <c r="E57" i="69"/>
  <c r="N197" i="68"/>
  <c r="N199" i="68"/>
  <c r="Q201" i="68"/>
  <c r="S201" i="68"/>
  <c r="I61" i="75" l="1"/>
  <c r="E62" i="75"/>
  <c r="I78" i="75"/>
  <c r="E79" i="75"/>
  <c r="D70" i="74"/>
  <c r="D60" i="74"/>
  <c r="G53" i="74"/>
  <c r="I203" i="68"/>
  <c r="J203" i="68" s="1"/>
  <c r="K203" i="68" s="1"/>
  <c r="L203" i="68" s="1"/>
  <c r="M203" i="68" s="1"/>
  <c r="N200" i="68"/>
  <c r="N201" i="68"/>
  <c r="AE201" i="68" s="1"/>
  <c r="AE203" i="68" s="1"/>
  <c r="F57" i="69"/>
  <c r="J57" i="69"/>
  <c r="K57" i="69" s="1"/>
  <c r="I123" i="75"/>
  <c r="J123" i="75" s="1"/>
  <c r="E63" i="75" l="1"/>
  <c r="I63" i="75" s="1"/>
  <c r="I62" i="75"/>
  <c r="I79" i="75"/>
  <c r="E80" i="75"/>
  <c r="I80" i="75" s="1"/>
  <c r="O200" i="68"/>
  <c r="Q200" i="68"/>
  <c r="D77" i="74"/>
  <c r="G70" i="74"/>
  <c r="H70" i="74" s="1"/>
  <c r="D91" i="74"/>
  <c r="N203" i="68"/>
  <c r="O203" i="68" s="1"/>
  <c r="P203" i="68" s="1"/>
  <c r="Q203" i="68" s="1"/>
  <c r="R203" i="68" s="1"/>
  <c r="S203" i="68" s="1"/>
  <c r="T203" i="68" s="1"/>
  <c r="U203" i="68" s="1"/>
  <c r="V203" i="68" s="1"/>
  <c r="W203" i="68" s="1"/>
  <c r="X203" i="68" s="1"/>
  <c r="Y203" i="68" s="1"/>
  <c r="Z203" i="68" s="1"/>
  <c r="AA203" i="68" s="1"/>
  <c r="AB203" i="68" s="1"/>
  <c r="AC203" i="68" s="1"/>
  <c r="AD203" i="68" s="1"/>
  <c r="D98" i="74" l="1"/>
  <c r="G91" i="74"/>
  <c r="P200" i="68"/>
  <c r="S200" i="68" s="1"/>
  <c r="T200" i="68" s="1"/>
  <c r="R200" i="68"/>
  <c r="G118" i="74"/>
  <c r="I70" i="74"/>
  <c r="H71" i="74" l="1"/>
  <c r="I71" i="74" s="1"/>
  <c r="I72" i="74" s="1"/>
  <c r="I73" i="74" s="1"/>
  <c r="I74" i="74" s="1"/>
  <c r="I75" i="74" s="1"/>
  <c r="I77" i="74" s="1"/>
  <c r="V200" i="68"/>
  <c r="U200" i="68"/>
  <c r="W200" i="68" s="1"/>
  <c r="X200" i="68" s="1"/>
  <c r="Y200" i="68" s="1"/>
  <c r="Z200" i="68" s="1"/>
  <c r="AA200" i="68" s="1"/>
  <c r="AB200" i="68" s="1"/>
  <c r="AC200" i="68" s="1"/>
  <c r="AD200" i="68" s="1"/>
  <c r="AE200" i="68" s="1"/>
  <c r="K76" i="75" l="1"/>
  <c r="G119" i="74"/>
  <c r="G125" i="74" s="1"/>
  <c r="G126" i="74" s="1"/>
  <c r="H77" i="74"/>
  <c r="M76" i="75" l="1"/>
  <c r="I124" i="75" s="1"/>
  <c r="J124" i="75" s="1"/>
  <c r="J125" i="75" s="1"/>
  <c r="J126" i="75" s="1"/>
  <c r="J127" i="75" s="1"/>
  <c r="J128" i="75" s="1"/>
  <c r="K82" i="75"/>
  <c r="L76" i="75"/>
  <c r="L77" i="75" s="1"/>
  <c r="L78" i="75" s="1"/>
  <c r="L79" i="75" s="1"/>
  <c r="L80" i="75" s="1"/>
</calcChain>
</file>

<file path=xl/comments1.xml><?xml version="1.0" encoding="utf-8"?>
<comments xmlns="http://schemas.openxmlformats.org/spreadsheetml/2006/main">
  <authors>
    <author>i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datos del informe financiero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D59" authorId="0" shapeId="0">
      <text>
        <r>
          <rPr>
            <b/>
            <sz val="8"/>
            <color indexed="81"/>
            <rFont val="Tahoma"/>
            <family val="2"/>
          </rPr>
          <t>s:</t>
        </r>
        <r>
          <rPr>
            <sz val="8"/>
            <color indexed="81"/>
            <rFont val="Tahoma"/>
            <family val="2"/>
          </rPr>
          <t xml:space="preserve">
DEL CRONOGRAMA ACELERADO</t>
        </r>
      </text>
    </comment>
  </commentList>
</comments>
</file>

<file path=xl/sharedStrings.xml><?xml version="1.0" encoding="utf-8"?>
<sst xmlns="http://schemas.openxmlformats.org/spreadsheetml/2006/main" count="1178" uniqueCount="571">
  <si>
    <t>TOTAL</t>
  </si>
  <si>
    <t>COEF.</t>
  </si>
  <si>
    <t>INCID.</t>
  </si>
  <si>
    <t>K</t>
  </si>
  <si>
    <t>MES</t>
  </si>
  <si>
    <t>K-1</t>
  </si>
  <si>
    <t>MATERIALES</t>
  </si>
  <si>
    <t>SUB TOTAL</t>
  </si>
  <si>
    <t>02</t>
  </si>
  <si>
    <t xml:space="preserve">  S/.</t>
  </si>
  <si>
    <t>REINT. AUTORIZADO</t>
  </si>
  <si>
    <t>VAL</t>
  </si>
  <si>
    <t>REINT. EJECUTADO</t>
  </si>
  <si>
    <t>S/IGV</t>
  </si>
  <si>
    <t>VAL. PROGRAMADA</t>
  </si>
  <si>
    <t>ACUM.</t>
  </si>
  <si>
    <t>VAL. EJECUTADA</t>
  </si>
  <si>
    <t>REINT. PROGRAM.</t>
  </si>
  <si>
    <t>DIRE.+MAT.</t>
  </si>
  <si>
    <t>MONTO CONT. S/IGV</t>
  </si>
  <si>
    <t>IR</t>
  </si>
  <si>
    <t>ITEM</t>
  </si>
  <si>
    <t>CALCULO DE LOS COEFICIENTES DE REAJUSTE</t>
  </si>
  <si>
    <t>PLAZO</t>
  </si>
  <si>
    <t>I.U.</t>
  </si>
  <si>
    <t>CONCEPTO</t>
  </si>
  <si>
    <t>SIMBOLO</t>
  </si>
  <si>
    <t>INCIDENCIA</t>
  </si>
  <si>
    <t>IND. BASE</t>
  </si>
  <si>
    <t>INDICES   UNIFICADOS   (  I.U. )</t>
  </si>
  <si>
    <t>AREA GEOGRAFICA:</t>
  </si>
  <si>
    <t>P. CONTRATADO</t>
  </si>
  <si>
    <t>ENTIDAD</t>
  </si>
  <si>
    <t>SUPERVISION</t>
  </si>
  <si>
    <t xml:space="preserve"> </t>
  </si>
  <si>
    <t>DEDUCTIVO</t>
  </si>
  <si>
    <t>DIRECTO</t>
  </si>
  <si>
    <t>DEDUCTIVOS</t>
  </si>
  <si>
    <t>Nº</t>
  </si>
  <si>
    <t>:</t>
  </si>
  <si>
    <t>CONTRATISTA</t>
  </si>
  <si>
    <t>FECHA</t>
  </si>
  <si>
    <t>O   B   R   A</t>
  </si>
  <si>
    <t>%</t>
  </si>
  <si>
    <t>SALDO</t>
  </si>
  <si>
    <t>MANO DE OBRA ( INC. LEYES SOCIALES )</t>
  </si>
  <si>
    <t>OBRA</t>
  </si>
  <si>
    <t>02.01.01</t>
  </si>
  <si>
    <t>02.01.02</t>
  </si>
  <si>
    <t>02.02.01</t>
  </si>
  <si>
    <t>02.02.02</t>
  </si>
  <si>
    <t>02.02.03</t>
  </si>
  <si>
    <t>02.02.04</t>
  </si>
  <si>
    <t>03.01.01</t>
  </si>
  <si>
    <t>03.01.02</t>
  </si>
  <si>
    <t>03.01.03</t>
  </si>
  <si>
    <t>und</t>
  </si>
  <si>
    <t>Parcial (S/.)</t>
  </si>
  <si>
    <t>m2</t>
  </si>
  <si>
    <t>m3</t>
  </si>
  <si>
    <t>COSTO DIRECTO</t>
  </si>
  <si>
    <t>J</t>
  </si>
  <si>
    <t>MAQUINARIA  Y  EQUIPO  IMPORTADO</t>
  </si>
  <si>
    <t>CALCULO DEL  REAJUSTES  Y   REINTEGROS</t>
  </si>
  <si>
    <t>MONTO</t>
  </si>
  <si>
    <t>DESCRIPCION</t>
  </si>
  <si>
    <t>MONTO VIGENTE</t>
  </si>
  <si>
    <t>ESPECIF.</t>
  </si>
  <si>
    <t>01.01.00</t>
  </si>
  <si>
    <t>Movilización y desmovilización</t>
  </si>
  <si>
    <t>glb</t>
  </si>
  <si>
    <t>01.02.00</t>
  </si>
  <si>
    <t>Desbroce y limpieza</t>
  </si>
  <si>
    <t>ha</t>
  </si>
  <si>
    <t>01.03.00</t>
  </si>
  <si>
    <t>Trazo, nivelación y replanteo</t>
  </si>
  <si>
    <t>01.04.00</t>
  </si>
  <si>
    <t>Baños ecológicos</t>
  </si>
  <si>
    <t>01.05.00</t>
  </si>
  <si>
    <t>Suministro Eléctrico de Campamento y obra</t>
  </si>
  <si>
    <t>01.06.00</t>
  </si>
  <si>
    <t>Cartel de Obra 3,60 x 2.40 m</t>
  </si>
  <si>
    <t>07.00.00</t>
  </si>
  <si>
    <t>ACCESOS</t>
  </si>
  <si>
    <t>07.01.00</t>
  </si>
  <si>
    <t>MOVIMIENTO DE TIERRAS</t>
  </si>
  <si>
    <t>07.01.01</t>
  </si>
  <si>
    <t>Excavación en material suelto</t>
  </si>
  <si>
    <t>07.01.02</t>
  </si>
  <si>
    <t>Excavación en roca fracturada</t>
  </si>
  <si>
    <t>07.01.03</t>
  </si>
  <si>
    <t>Excavación en roca Fija</t>
  </si>
  <si>
    <t>07.01.04</t>
  </si>
  <si>
    <t>Relleno con material propio</t>
  </si>
  <si>
    <t>07.01.05</t>
  </si>
  <si>
    <t>Afirmado</t>
  </si>
  <si>
    <t>07.01.06</t>
  </si>
  <si>
    <t>Eliminación de material excedente (Dist. prom. = 3.4 km)</t>
  </si>
  <si>
    <t>08.00.00</t>
  </si>
  <si>
    <t>OBRAS DE ARTE</t>
  </si>
  <si>
    <t>08.01.00</t>
  </si>
  <si>
    <t>08.01.01</t>
  </si>
  <si>
    <t>08.01.02</t>
  </si>
  <si>
    <t>08.01.03</t>
  </si>
  <si>
    <t>Enrocado (0 500mm)</t>
  </si>
  <si>
    <t>08.01.04</t>
  </si>
  <si>
    <t>Relleno estructural</t>
  </si>
  <si>
    <t>08.01 05</t>
  </si>
  <si>
    <t>Cama de arena</t>
  </si>
  <si>
    <t>08.01.06</t>
  </si>
  <si>
    <t>Eliminación de material excedente (Dist. prom. = 3,4 km)</t>
  </si>
  <si>
    <t>08.02.00</t>
  </si>
  <si>
    <t>CONCRETO</t>
  </si>
  <si>
    <t>08.02.01</t>
  </si>
  <si>
    <t>Concreto fc=20 MPa</t>
  </si>
  <si>
    <t>08.02.02</t>
  </si>
  <si>
    <t>Piedra asentada con fc=20 MPa (e=0.2m)</t>
  </si>
  <si>
    <t>08.03.00</t>
  </si>
  <si>
    <t>ENCOFRADO</t>
  </si>
  <si>
    <t>08.03.01</t>
  </si>
  <si>
    <t>Encofrado y desencofrado caravista</t>
  </si>
  <si>
    <t>08.04.00</t>
  </si>
  <si>
    <t>VARIOS</t>
  </si>
  <si>
    <t>08.04.01</t>
  </si>
  <si>
    <t>Tubería metálica corrugada 0 60"</t>
  </si>
  <si>
    <t>m</t>
  </si>
  <si>
    <t>08.04.02</t>
  </si>
  <si>
    <t>Tubería metálica corrugada 0 36"</t>
  </si>
  <si>
    <t>08.04.03</t>
  </si>
  <si>
    <t>Mamposteria de piedra</t>
  </si>
  <si>
    <t>08.04.04</t>
  </si>
  <si>
    <t>01.00.00</t>
  </si>
  <si>
    <t>TRABAJOS PRELIMINARES Y OBRAS PROVISIONALES</t>
  </si>
  <si>
    <t>04.00.00</t>
  </si>
  <si>
    <t>TUNEL</t>
  </si>
  <si>
    <t>04.01.00</t>
  </si>
  <si>
    <t>04.01.01</t>
  </si>
  <si>
    <t>Excavación en roca tipo II</t>
  </si>
  <si>
    <t>04.01.02</t>
  </si>
  <si>
    <t>Excavación en roca tipo III</t>
  </si>
  <si>
    <t>04.01.03</t>
  </si>
  <si>
    <t>Excavación en roca tipo IV</t>
  </si>
  <si>
    <t>04.01.04</t>
  </si>
  <si>
    <t>Eliminación de material excedente {Dist. prom. = 2,5 km)</t>
  </si>
  <si>
    <t>04.02.00</t>
  </si>
  <si>
    <t>04.02.01</t>
  </si>
  <si>
    <t>Concreto fc=10 MPa</t>
  </si>
  <si>
    <t>04.02.02</t>
  </si>
  <si>
    <t>04.02.03</t>
  </si>
  <si>
    <t>Shotcrete de 2"</t>
  </si>
  <si>
    <t>04.02.04</t>
  </si>
  <si>
    <t>Shotcrete de 4"</t>
  </si>
  <si>
    <t>04.02.05</t>
  </si>
  <si>
    <t>Shotcrete de 6"</t>
  </si>
  <si>
    <t>04.03.00</t>
  </si>
  <si>
    <t>04.03.01</t>
  </si>
  <si>
    <t>Encofrado y desencofradlo caravista curvos</t>
  </si>
  <si>
    <t>04.04.00</t>
  </si>
  <si>
    <t>OBRAS VARIAS :</t>
  </si>
  <si>
    <t>04.04.01</t>
  </si>
  <si>
    <t>Cimbras metálica tipo 1 W6x20</t>
  </si>
  <si>
    <t>kg</t>
  </si>
  <si>
    <t>04.04.02</t>
  </si>
  <si>
    <t>Pernos de anclaje 0=1" (Inc.perforación y grouting)</t>
  </si>
  <si>
    <t>04.04.03</t>
  </si>
  <si>
    <t>Barras de anclaje 0=1" (Inc. perforación y grouting)</t>
  </si>
  <si>
    <t>04.05.00</t>
  </si>
  <si>
    <t>INSTRUMENTACIÓN</t>
  </si>
  <si>
    <t>04.05.01</t>
  </si>
  <si>
    <t>Instrumentación Túnel</t>
  </si>
  <si>
    <t>06.00.00</t>
  </si>
  <si>
    <t>ATAGUIA</t>
  </si>
  <si>
    <t>06.01.00</t>
  </si>
  <si>
    <t>06.01.01</t>
  </si>
  <si>
    <t>06.01.02</t>
  </si>
  <si>
    <t>Excavación controlada en roca fracturada</t>
  </si>
  <si>
    <t>06.01.03</t>
  </si>
  <si>
    <t>Excavación controlada en roca Fija</t>
  </si>
  <si>
    <t>06.01.04</t>
  </si>
  <si>
    <t>Eliminación de material excedente (Dist. prom. = 2,5 km)</t>
  </si>
  <si>
    <t>06.02.00</t>
  </si>
  <si>
    <t>RELLENO DEL CUERPO DE LA ATAGUÍA</t>
  </si>
  <si>
    <t>06.02.01</t>
  </si>
  <si>
    <t>Relleno material Morrénico compactado</t>
  </si>
  <si>
    <t>06.02.02</t>
  </si>
  <si>
    <t>Geomembrana HDPE, e=0.5 mm</t>
  </si>
  <si>
    <t>06.02.03</t>
  </si>
  <si>
    <t>Roca de cantera Dmáx= 300 mm</t>
  </si>
  <si>
    <t>02.00.00</t>
  </si>
  <si>
    <t>PRESA CFRD</t>
  </si>
  <si>
    <t>02.01.00</t>
  </si>
  <si>
    <t>02.01.03</t>
  </si>
  <si>
    <t>02.01.04</t>
  </si>
  <si>
    <t>02.01.05</t>
  </si>
  <si>
    <t>02.01.06</t>
  </si>
  <si>
    <t>Eliminación de material excedente (Dist. prom. = 2.5 km)</t>
  </si>
  <si>
    <t>02.02.00</t>
  </si>
  <si>
    <t>TRATAMIENTO DE LA FUNDACIÓN</t>
  </si>
  <si>
    <t>Perforación rotativa NQ sondeos</t>
  </si>
  <si>
    <t>Perforación rolopercusiva 0=2 1/2"</t>
  </si>
  <si>
    <t>Inyección do mozcio agua/cemento</t>
  </si>
  <si>
    <t>bis</t>
  </si>
  <si>
    <t>02.02.05</t>
  </si>
  <si>
    <t>Ensayo de permeabilidad tipo Lugeon</t>
  </si>
  <si>
    <t>02.02.06</t>
  </si>
  <si>
    <t>Ensayo de permeabilidad tipo Lefrac</t>
  </si>
  <si>
    <t>02.02.07</t>
  </si>
  <si>
    <t>Cajas portatestigos de PVC</t>
  </si>
  <si>
    <t>02.02.08</t>
  </si>
  <si>
    <t>Concreto dental</t>
  </si>
  <si>
    <t>02.02.09</t>
  </si>
  <si>
    <t>Tubería de PVC 0=4" (en plinto)</t>
  </si>
  <si>
    <t>02.02.10</t>
  </si>
  <si>
    <t>Traslado de equipos entre puntos de perforación</t>
  </si>
  <si>
    <t>hr</t>
  </si>
  <si>
    <t>02.03.00</t>
  </si>
  <si>
    <t>RELLENO del CUERPO de LA PRESA</t>
  </si>
  <si>
    <t>02.03.01</t>
  </si>
  <si>
    <t>Roca de cantera Dmáx = 200 mm (3A)</t>
  </si>
  <si>
    <t>02.03.02</t>
  </si>
  <si>
    <t>Roca de cantera Dmax=300mm (3B)</t>
  </si>
  <si>
    <t>02.03.03</t>
  </si>
  <si>
    <t>Roca de excavación Dmax=300mm (3B)</t>
  </si>
  <si>
    <t>02.03.04</t>
  </si>
  <si>
    <t>Roca de cantera Dmax=500mm (3C)</t>
  </si>
  <si>
    <t>02.03.05</t>
  </si>
  <si>
    <t>Roca de excavación Dmax=500mm (3C)</t>
  </si>
  <si>
    <t>02.03.06</t>
  </si>
  <si>
    <t>Filtro fino, Dmax=20mm (2A)</t>
  </si>
  <si>
    <t>02.03.07</t>
  </si>
  <si>
    <t>Filtro semipermeable, Dmax=75 mm (2B)</t>
  </si>
  <si>
    <t>02.03.08</t>
  </si>
  <si>
    <t>Material Impermeable (1 A)</t>
  </si>
  <si>
    <t>02.03.09</t>
  </si>
  <si>
    <t>Material seleccionado (1B)</t>
  </si>
  <si>
    <t>02.03.10</t>
  </si>
  <si>
    <t>02.04.00</t>
  </si>
  <si>
    <t>CONCRETO (PLINTO Y PANTALLA)</t>
  </si>
  <si>
    <t>02.04.01</t>
  </si>
  <si>
    <t>02.04.02</t>
  </si>
  <si>
    <t>Concreto fc=28 MPa</t>
  </si>
  <si>
    <t>02.04.03</t>
  </si>
  <si>
    <t>Bordillo en concreto extrudado</t>
  </si>
  <si>
    <t>02.05.00</t>
  </si>
  <si>
    <t>02.05.01</t>
  </si>
  <si>
    <t>Encofrado y desencofrado caravlsta</t>
  </si>
  <si>
    <t>02.05.02</t>
  </si>
  <si>
    <t>Encofrado y desencofrado deslizante propulsado por winche</t>
  </si>
  <si>
    <t>02.06.00</t>
  </si>
  <si>
    <t>ACERO</t>
  </si>
  <si>
    <t>02.06.01</t>
  </si>
  <si>
    <t>Acero de refuerzo fy=420 MPa</t>
  </si>
  <si>
    <t>02.07.00</t>
  </si>
  <si>
    <t>OBRAS VARIAS</t>
  </si>
  <si>
    <t>02.07.01</t>
  </si>
  <si>
    <t>Junta perimetral en presa</t>
  </si>
  <si>
    <t>02.07.02</t>
  </si>
  <si>
    <t>Junta de tracción en presa</t>
  </si>
  <si>
    <t>02.07.03</t>
  </si>
  <si>
    <t>Junta de compresión en presa</t>
  </si>
  <si>
    <t>02,07.04</t>
  </si>
  <si>
    <t>Junta de construcción</t>
  </si>
  <si>
    <t>03.00.00</t>
  </si>
  <si>
    <t>ALIVIADERO</t>
  </si>
  <si>
    <t>03.01.00</t>
  </si>
  <si>
    <t>03.01.04</t>
  </si>
  <si>
    <t>03.01.05</t>
  </si>
  <si>
    <t>Eliminación de material excedente (Dlst. prom =2.5 Km)</t>
  </si>
  <si>
    <t>03.02.00</t>
  </si>
  <si>
    <t>03.02.01</t>
  </si>
  <si>
    <t>03.02.02</t>
  </si>
  <si>
    <t>03.02.03</t>
  </si>
  <si>
    <t>03.03.00</t>
  </si>
  <si>
    <t>03.03.01</t>
  </si>
  <si>
    <t>03.03.02</t>
  </si>
  <si>
    <t>Encofrado y desencofrado caravlsta curvos</t>
  </si>
  <si>
    <t>03.04.00</t>
  </si>
  <si>
    <t>03.04.01</t>
  </si>
  <si>
    <t>03.05.00</t>
  </si>
  <si>
    <t>03.05.01</t>
  </si>
  <si>
    <t>03.05.02</t>
  </si>
  <si>
    <t>03.05.03</t>
  </si>
  <si>
    <t>Junta de compresión</t>
  </si>
  <si>
    <t>03.05.04</t>
  </si>
  <si>
    <t>Junta de dilatación</t>
  </si>
  <si>
    <t>03.05.05</t>
  </si>
  <si>
    <t>Baranda metálica F”G° 0 2"</t>
  </si>
  <si>
    <t>05.00.00</t>
  </si>
  <si>
    <t>ESTRUCTURA DE INGRESO Y CAMARA DE VALVULAS</t>
  </si>
  <si>
    <t>05.01.00</t>
  </si>
  <si>
    <t>05.01.01</t>
  </si>
  <si>
    <t>05.01.02</t>
  </si>
  <si>
    <t>05.01 03</t>
  </si>
  <si>
    <t>Excavación en roca fija</t>
  </si>
  <si>
    <t>05.01.04</t>
  </si>
  <si>
    <t>Excavación controlada en roca fija</t>
  </si>
  <si>
    <t>05.01.05</t>
  </si>
  <si>
    <t>Eliminación de material excedente (Dist prom. = 2,5 km)</t>
  </si>
  <si>
    <t>05.02.00</t>
  </si>
  <si>
    <t>05.02.01</t>
  </si>
  <si>
    <t>05.02.02</t>
  </si>
  <si>
    <t>05.02.03</t>
  </si>
  <si>
    <t>05.03.00</t>
  </si>
  <si>
    <t>05.03.01</t>
  </si>
  <si>
    <t>05.03.02</t>
  </si>
  <si>
    <t>Encofrado y desencofrado caravista curvos</t>
  </si>
  <si>
    <t>05.04.00</t>
  </si>
  <si>
    <t>05.04.01</t>
  </si>
  <si>
    <t>Acero de refuerzo fy=42G MPa</t>
  </si>
  <si>
    <t>05.05.00</t>
  </si>
  <si>
    <t>05.05.01</t>
  </si>
  <si>
    <t>Puerta metálica</t>
  </si>
  <si>
    <t>05.05.02</t>
  </si>
  <si>
    <t>Ventana</t>
  </si>
  <si>
    <t>05.05.03</t>
  </si>
  <si>
    <t>Junta (e = 25 rara)</t>
  </si>
  <si>
    <t>05.05.04</t>
  </si>
  <si>
    <t>Barras de anclaje 0 = 1" (Inc. perforación y grouting)</t>
  </si>
  <si>
    <t>05.05.05</t>
  </si>
  <si>
    <t>Escalera de gato</t>
  </si>
  <si>
    <t>05.05.06</t>
  </si>
  <si>
    <t>Baranda metálica F"G" 0 2"</t>
  </si>
  <si>
    <t>05.05.07</t>
  </si>
  <si>
    <t>Pernos de anclaje 0=1" (inc.perforación y grouting)</t>
  </si>
  <si>
    <t>09.01.00</t>
  </si>
  <si>
    <t>CAMPAMENTO DE OBRA</t>
  </si>
  <si>
    <t>09.01.01</t>
  </si>
  <si>
    <t>Obras Temporales</t>
  </si>
  <si>
    <t>09.01.02</t>
  </si>
  <si>
    <t>Obras Permanentes</t>
  </si>
  <si>
    <t>02.08.00</t>
  </si>
  <si>
    <t>02.08.01</t>
  </si>
  <si>
    <t>Instrumentación de presa</t>
  </si>
  <si>
    <t>6  PUNO</t>
  </si>
  <si>
    <t>CON IGV</t>
  </si>
  <si>
    <t>CEMENTO PORTLAND TIPO I</t>
  </si>
  <si>
    <t>DÓLAR  (GENERAL PONDERADO)</t>
  </si>
  <si>
    <t>MAQUINARIA  Y  EQUIPO  NACIONAL</t>
  </si>
  <si>
    <t>INDICE GENERAL DE PRECIOS AL CONS.</t>
  </si>
  <si>
    <t>COEFICIENTE DE REAJUSTE   ( K )</t>
  </si>
  <si>
    <t>:  PROYECTO REGULACION RIO PUMAMAYO</t>
  </si>
  <si>
    <t xml:space="preserve">:  EMPRESA DE GENERACIÓN ELÉCTRICA SAN GABÁN S.A. </t>
  </si>
  <si>
    <t>POSTOR</t>
  </si>
  <si>
    <t>:  CONSORCIO PUMAMAYO</t>
  </si>
  <si>
    <t>UBICACIÓN</t>
  </si>
  <si>
    <t>:  DEPARTAMENTO  : PUNO                      PROVINCIA: CARABAYA                   DISTRITO: MACUSANI</t>
  </si>
  <si>
    <t>Und</t>
  </si>
  <si>
    <t>Metrado</t>
  </si>
  <si>
    <t>Precio (S/.)</t>
  </si>
  <si>
    <t>SUMINISTRO Y MONTAJE DE EQUIPOS HIDROMECANICOS</t>
  </si>
  <si>
    <t>GASTOS GENERALES  (11.66%)</t>
  </si>
  <si>
    <t>UTILIDAD (10%)</t>
  </si>
  <si>
    <t>--------------------</t>
  </si>
  <si>
    <t>PLAN DE MANEJO AMBIENTAL</t>
  </si>
  <si>
    <t>Costos Ambientales</t>
  </si>
  <si>
    <t>GASTOS GENERALES  (8.00%)</t>
  </si>
  <si>
    <t>SUB TOTAL PARCIAL</t>
  </si>
  <si>
    <t>IGV (18%)</t>
  </si>
  <si>
    <t>==============</t>
  </si>
  <si>
    <t xml:space="preserve"> PRESUPUESTO TOTAL</t>
  </si>
  <si>
    <t xml:space="preserve"> MONTO ACUMULADO PARCIAL</t>
  </si>
  <si>
    <t>PORCENTAJE DE AVACE PARCIAL</t>
  </si>
  <si>
    <t xml:space="preserve">PORCENTAJE DE AVANCE ACUMULADO </t>
  </si>
  <si>
    <t>F.P.  Nº 01</t>
  </si>
  <si>
    <t>F.P.  Nº 03</t>
  </si>
  <si>
    <t>F.P.  Nº 02</t>
  </si>
  <si>
    <t>Equipamiento hidromecánico</t>
  </si>
  <si>
    <t>OBRAS  CIVILES</t>
  </si>
  <si>
    <t>Rehabilitación, protección y mantenimiento de la toma exis</t>
  </si>
  <si>
    <t>GASTOS GENERALES  (11.659902%)</t>
  </si>
  <si>
    <t>DEDUCCION</t>
  </si>
  <si>
    <t>AMORTIZACION  DEL  ADELANTO  DE  MATERIALES</t>
  </si>
  <si>
    <t>TOTAL DE ADELANTO Nº 01</t>
  </si>
  <si>
    <t>(Sin IGV )</t>
  </si>
  <si>
    <t xml:space="preserve">                      AMORTIZACION DEL ADELANTO PARA MATERIALES =  Ci x V x Ima / Imo</t>
  </si>
  <si>
    <t>DONDE:</t>
  </si>
  <si>
    <t>Ci = Coeficiente de incidencia del material motivo de adelanto</t>
  </si>
  <si>
    <t>V= Valorización del mes (inc. F.R.  sin  IGV)</t>
  </si>
  <si>
    <t>ADELANTO  CON   IGV</t>
  </si>
  <si>
    <t xml:space="preserve">Monto Otorgado </t>
  </si>
  <si>
    <t>Mes</t>
  </si>
  <si>
    <t>Ima</t>
  </si>
  <si>
    <t>Imo</t>
  </si>
  <si>
    <t>Amortización</t>
  </si>
  <si>
    <t xml:space="preserve">Monto </t>
  </si>
  <si>
    <t xml:space="preserve">Saldo por </t>
  </si>
  <si>
    <t>Amortizado</t>
  </si>
  <si>
    <t>Amortizar</t>
  </si>
  <si>
    <t>TOTALES</t>
  </si>
  <si>
    <t xml:space="preserve">S/. </t>
  </si>
  <si>
    <t>CONTROL DE AMORTIZACION DEL ADELANTO POR MATERIALES</t>
  </si>
  <si>
    <t>TOTAL AMORTIZADO</t>
  </si>
  <si>
    <t>SALDO POR AMORTIZAR</t>
  </si>
  <si>
    <t>DEDUCCION DEL REAJUSTE QUE NO CORRESPONDE POR</t>
  </si>
  <si>
    <t>ADELANTO ESPECIFICO PARA MATERIALES</t>
  </si>
  <si>
    <t>D.S. Nº 017-79-VC</t>
  </si>
  <si>
    <t xml:space="preserve">   D = ci x  Val x     [ (Imr - Ima) / Imo ]</t>
  </si>
  <si>
    <t>donde :</t>
  </si>
  <si>
    <t>D  = Deducción de reintegro que no corresponde</t>
  </si>
  <si>
    <t>ci   = coeficiente de incidencia del material del adelanto</t>
  </si>
  <si>
    <t>V   =  valorización del mes</t>
  </si>
  <si>
    <t xml:space="preserve">Imr  = Indice del material al mes del reajuste </t>
  </si>
  <si>
    <t>Valorización</t>
  </si>
  <si>
    <t xml:space="preserve">c.i. </t>
  </si>
  <si>
    <t>Monto Otorg.</t>
  </si>
  <si>
    <t>Imr</t>
  </si>
  <si>
    <t>Adel Deflact.</t>
  </si>
  <si>
    <t>c.i. x Valoriz.</t>
  </si>
  <si>
    <t xml:space="preserve">Monto utilizado </t>
  </si>
  <si>
    <t>Deducción</t>
  </si>
  <si>
    <t>Valoriz, (S/,)</t>
  </si>
  <si>
    <t>material</t>
  </si>
  <si>
    <t>(SIN  IGV)</t>
  </si>
  <si>
    <t>Adel.Otorg. x Imo/Ima</t>
  </si>
  <si>
    <t>ADELANTO</t>
  </si>
  <si>
    <t>k = j x (d -e)/f</t>
  </si>
  <si>
    <t>a</t>
  </si>
  <si>
    <t>b</t>
  </si>
  <si>
    <t>c</t>
  </si>
  <si>
    <t>d</t>
  </si>
  <si>
    <t>e</t>
  </si>
  <si>
    <t>f</t>
  </si>
  <si>
    <t>g = c x f / e</t>
  </si>
  <si>
    <t xml:space="preserve">h = a x b </t>
  </si>
  <si>
    <t>j</t>
  </si>
  <si>
    <t>DEFLATADO</t>
  </si>
  <si>
    <t>01</t>
  </si>
  <si>
    <t>03</t>
  </si>
  <si>
    <t>04</t>
  </si>
  <si>
    <t>05</t>
  </si>
  <si>
    <t>SIN IGV</t>
  </si>
  <si>
    <t>I.U.= 21</t>
  </si>
  <si>
    <t>MATERIAL:  MAQUINARIA Y EQUIPO NACIONAL</t>
  </si>
  <si>
    <t>MES SIN ADELANTO</t>
  </si>
  <si>
    <t>MATERIAL:  CEMENTO PORTLAND  TIPO I     (IU  21)</t>
  </si>
  <si>
    <t>FORMULA POLINOMICA GENERAL</t>
  </si>
  <si>
    <t>CALENDARIO DE AVANCE DE OBRA VALORIZADO ACTUALIZADO</t>
  </si>
  <si>
    <t>PAGADO ANTERIOR</t>
  </si>
  <si>
    <r>
      <rPr>
        <b/>
        <u/>
        <sz val="11"/>
        <rFont val="Calibri"/>
        <family val="2"/>
      </rPr>
      <t>NOTA</t>
    </r>
    <r>
      <rPr>
        <b/>
        <sz val="11"/>
        <rFont val="Calibri"/>
        <family val="2"/>
      </rPr>
      <t>: EL EXPEDIENTE TECNICO NO HA CONSIDERADO FORMULAS POLINOMICAS PARA LOS SUBPRESUPUESTOS: 1.- EQUIPAMIENTO HIDRAULICO  y  2.- COSTOS AMBIENTALES.</t>
    </r>
  </si>
  <si>
    <t>REINTEGROS - ANTERIOR</t>
  </si>
  <si>
    <t>DEDUCTIVOS - ANTERIOR</t>
  </si>
  <si>
    <t>FORMULA  POLINOMICA  Nº 01 - OBRAS CIVILES  (AUTORIZADO)</t>
  </si>
  <si>
    <t>TOTAL REINTEG. - DEDUCT.  ANTERIOR</t>
  </si>
  <si>
    <t>REINTEGROS - ACUMULADO</t>
  </si>
  <si>
    <t>DEDUCTIVOS - ACUMULADO</t>
  </si>
  <si>
    <t>06</t>
  </si>
  <si>
    <t>07</t>
  </si>
  <si>
    <t>08</t>
  </si>
  <si>
    <t>REINTEGRO   PAGADO</t>
  </si>
  <si>
    <t>09</t>
  </si>
  <si>
    <t>DEDUCTIVO DE OBRA N°01</t>
  </si>
  <si>
    <t>PRESUPUESTO TOTAL</t>
  </si>
  <si>
    <t>Deductivo N° 01</t>
  </si>
  <si>
    <t>MONTO VIGENTE S/IGV</t>
  </si>
  <si>
    <t>CONTROL DE DEDUCCIONES</t>
  </si>
  <si>
    <t>DEDUCTIVOS ANTERIOR</t>
  </si>
  <si>
    <t>DEDUCTIVOS ACUMULADOS</t>
  </si>
  <si>
    <t>10</t>
  </si>
  <si>
    <t>VAL  Nº</t>
  </si>
  <si>
    <t xml:space="preserve">MONTO  </t>
  </si>
  <si>
    <t>UTILIZADO  (S/.)</t>
  </si>
  <si>
    <t>21 DE MAYO 2015</t>
  </si>
  <si>
    <t>AGOSTO</t>
  </si>
  <si>
    <t xml:space="preserve">REINTEGROS - AGOSTO  2014 </t>
  </si>
  <si>
    <t>DEDUCTIVOS - AGOSTO  2014</t>
  </si>
  <si>
    <t>FLETE TERRESTRE</t>
  </si>
  <si>
    <t xml:space="preserve">FORMULA POLINOMICA  </t>
  </si>
  <si>
    <t>K = 0.213*(Jr / Jo) + 0.068*(M1r / M1o) + 0.061*(M2r / M2o)+ 0.052*(M3r / M3o) + 0.355*(Er / Eo) + 0.251*(GUr / GUo)</t>
  </si>
  <si>
    <t>M1</t>
  </si>
  <si>
    <t>M2</t>
  </si>
  <si>
    <t>ACERO DE CONSTRUCCION CORRUGADO</t>
  </si>
  <si>
    <t>PLANCHA DE ACERO LAC</t>
  </si>
  <si>
    <t>M3</t>
  </si>
  <si>
    <t>E</t>
  </si>
  <si>
    <t>GU</t>
  </si>
  <si>
    <t>JUN.  2014</t>
  </si>
  <si>
    <t>MAY 2015</t>
  </si>
  <si>
    <t>JUN 2015</t>
  </si>
  <si>
    <t>JUL 2015</t>
  </si>
  <si>
    <t>AGO 2015</t>
  </si>
  <si>
    <t>SET 2015</t>
  </si>
  <si>
    <t>OCT 2015</t>
  </si>
  <si>
    <t>NOV 2015</t>
  </si>
  <si>
    <t>DIC 2015</t>
  </si>
  <si>
    <t>Imo= Indice de la fecha del Presupuesto base del mismo material (JUNIO 2014)</t>
  </si>
  <si>
    <t>MAY. 2015</t>
  </si>
  <si>
    <t>JUN. 2015</t>
  </si>
  <si>
    <t>JUL. 2015</t>
  </si>
  <si>
    <t>AGO. 2015</t>
  </si>
  <si>
    <t>SET. 2015</t>
  </si>
  <si>
    <t>OCT. 2015</t>
  </si>
  <si>
    <t>NOV. 2015</t>
  </si>
  <si>
    <t>DIC. 2015</t>
  </si>
  <si>
    <t>ENE. 2015</t>
  </si>
  <si>
    <t>FEB. 2015</t>
  </si>
  <si>
    <t>ci</t>
  </si>
  <si>
    <t>MATERIAL:  ACERO DE CONSTRUCCION CORRUGADO</t>
  </si>
  <si>
    <t>I.U.= 03</t>
  </si>
  <si>
    <t>VALORIZADO  (S/.)</t>
  </si>
  <si>
    <t>MATERIAL:  CEMENTO PORTLAND TIPO I</t>
  </si>
  <si>
    <t>MATERIAL:  MANO DE OBRA (INC. LEYES SOCIALES)</t>
  </si>
  <si>
    <t>I.U.= 47</t>
  </si>
  <si>
    <t>I.U.= 49</t>
  </si>
  <si>
    <t>Ci</t>
  </si>
  <si>
    <t>(Con  IGV  otorgado el  MAYO del  2015)</t>
  </si>
  <si>
    <t>MONTO AMORTIZADO EN VALORIZACION Nº 01 -  MAYO  2015</t>
  </si>
  <si>
    <t>MONTO AMORTIZADO EN VALORIZACION Nº 02  - JUNIO  2015</t>
  </si>
  <si>
    <t>MONTO AMORTIZADO EN VALORIZACION Nº 03  - JULIO  2015</t>
  </si>
  <si>
    <t>MONTO AMORTIZADO EN VALORIZACION Nº 04  - AGOSTO  2015</t>
  </si>
  <si>
    <t>MONTO AMORTIZADO EN VALORIZACION Nº 05  - SETIEMBRE 2015</t>
  </si>
  <si>
    <t>MONTO AMORTIZADO EN VALORIZACION Nº 06  - OCTUBRE  2015</t>
  </si>
  <si>
    <t>MONTO AMORTIZADO EN VALORIZACION Nº 07  - NOVIEMBRE  2015</t>
  </si>
  <si>
    <t>MONTO AMORTIZADO EN VALORIZACION Nº 08  - DICIEMBRE  2015</t>
  </si>
  <si>
    <t>MONTO AMORTIZADO EN VALORIZACION Nº 09  - ENERO  2016</t>
  </si>
  <si>
    <t>MONTO AMORTIZADO EN VALORIZACION Nº 10  - FEBRERO  2015</t>
  </si>
  <si>
    <t>Imo  = Indice del material al mes del Presupuesto Base  (Junio del  2014)</t>
  </si>
  <si>
    <t>MATERIAL:  MANO DE OBRA (INC. LEYES SOCIALES)   (IU  30)</t>
  </si>
  <si>
    <t>MATERIAL:  MAQUINARIA Y EQUIPO IMPORTADO   (IU  49)</t>
  </si>
  <si>
    <t>MATERIAL:  ACERO DE CONSTRUCCION CORRUGADO     (IU  03)</t>
  </si>
  <si>
    <t>May. 2015</t>
  </si>
  <si>
    <t>Jun. 2014</t>
  </si>
  <si>
    <t>ADELANTO POR MATERIALES Nº 02</t>
  </si>
  <si>
    <t>Ima= Indice a la fecha de otorgamiento del adelanto  Nº 02  (JUNIO- 2015)</t>
  </si>
  <si>
    <t>FORMULA :  GENERAL</t>
  </si>
  <si>
    <t>(Con  IGV  otorgado en JUNIO del  2015)</t>
  </si>
  <si>
    <t xml:space="preserve">Ima  = Indice del material al mes del adelanto Nº 02  (El adelanto se otorgó en JUNIO 2015) </t>
  </si>
  <si>
    <t>ADELANTO Nº 02</t>
  </si>
  <si>
    <t>Jun. 2015</t>
  </si>
  <si>
    <t>DEDUCTIVOS DEL MES - OCTUBRE  2015</t>
  </si>
  <si>
    <t>AMORTIZACION DEL ADELANTO POR MATERIALES - NOVIEMBRE  2015</t>
  </si>
  <si>
    <t>PLAZO DE EJECUCION</t>
  </si>
  <si>
    <t>MODALIDAD DE EJECUCION</t>
  </si>
  <si>
    <t>: CONTRATA</t>
  </si>
  <si>
    <t>FECHA DE INICIO DE OBRA</t>
  </si>
  <si>
    <t>RESIDENTE DE OBRA</t>
  </si>
  <si>
    <t>FECHA DE TERMINO DE LA OBRA</t>
  </si>
  <si>
    <t>VALORIZACIÓN DE OBRA</t>
  </si>
  <si>
    <t>Programado</t>
  </si>
  <si>
    <t>Físico Ejecutado</t>
  </si>
  <si>
    <t>Financiero Ejecutado</t>
  </si>
  <si>
    <t>N° de
Informe</t>
  </si>
  <si>
    <t>Mes del Informe</t>
  </si>
  <si>
    <t>Monto
S/.</t>
  </si>
  <si>
    <t>Ejecución Programada %</t>
  </si>
  <si>
    <t>Acumulado
%</t>
  </si>
  <si>
    <t>Porcentaje de 
Ejecucion</t>
  </si>
  <si>
    <t>Porcentaje
 de Ejecucion</t>
  </si>
  <si>
    <t>INICIO</t>
  </si>
  <si>
    <t>Total a la Fecha</t>
  </si>
  <si>
    <t>situcion de la obra</t>
  </si>
  <si>
    <t>SUPERVISOR DE OBRA</t>
  </si>
  <si>
    <t xml:space="preserve">OBRA: </t>
  </si>
  <si>
    <t>ESTADO FINANCIERO DE OBRA PROGRAMADO VS EJECUTADO (CUADRO S)</t>
  </si>
  <si>
    <t>: 45 DIAS CALENDARIOS</t>
  </si>
  <si>
    <t>7 al 15 DE ENERO</t>
  </si>
  <si>
    <t>16 al 31 DE ENERO</t>
  </si>
  <si>
    <t>1 al 15 de FEBRERO</t>
  </si>
  <si>
    <t>“REMODELACION DE LA LOSA DEPORTIVA; EN LA INSTITUCION EDUCATIVA N°10526 EN LA LOCALIDAD EL VERDE, DISTRITO DE CHALAMARCA, PROVINCIA DE CHOTA, DEPARTAMENTO DE CAJAMARCA</t>
  </si>
  <si>
    <t>: 9 DE ENERO 2021</t>
  </si>
  <si>
    <t>: 23 DE febrero DEL 2021</t>
  </si>
  <si>
    <t>: ARQ CESAR HERNAN SALDAÑA IDROGO</t>
  </si>
  <si>
    <t>: IING. VICTOR ENRIQUE TORRES FIGUEROA</t>
  </si>
  <si>
    <t>AVANZADA</t>
  </si>
  <si>
    <t>CULMINADA</t>
  </si>
  <si>
    <t>21 al 23 DE JULIO</t>
  </si>
  <si>
    <t>SUSPENSION DE PLAZO</t>
  </si>
  <si>
    <t>: 19  DE febrero DEL 2021</t>
  </si>
  <si>
    <t>REINICIO DE PLAZO</t>
  </si>
  <si>
    <t>: 21  DE Julio DEL 2021</t>
  </si>
  <si>
    <t>TERMINO DE PLAZO</t>
  </si>
  <si>
    <t>: 23 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</si>
</sst>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 * #,##0_ ;_ * \-#,##0_ ;_ * &quot;-&quot;_ ;_ @_ "/>
    <numFmt numFmtId="165" formatCode="_ * #,##0.00_ ;_ * \-#,##0.00_ ;_ * &quot;-&quot;??_ ;_ @_ "/>
    <numFmt numFmtId="166" formatCode="&quot;S/.&quot;\ #,##0.00_);[Red]\(&quot;S/.&quot;\ #,##0.00\)"/>
    <numFmt numFmtId="167" formatCode="_(* #,##0.00_);_(* \(#,##0.00\);_(* &quot;-&quot;??_);_(@_)"/>
    <numFmt numFmtId="168" formatCode="0.000"/>
    <numFmt numFmtId="169" formatCode="#,##0.000"/>
    <numFmt numFmtId="170" formatCode="#,##0.00000"/>
    <numFmt numFmtId="171" formatCode="#\ ##0.00"/>
    <numFmt numFmtId="172" formatCode="&quot;S/.&quot;\ \ \ #\ ##0.00"/>
    <numFmt numFmtId="173" formatCode="0.000%"/>
    <numFmt numFmtId="174" formatCode="[$S/.-280A]\ #,##0.00"/>
    <numFmt numFmtId="175" formatCode="_([$€-2]\ * #,##0.00_);_([$€-2]\ * \(#,##0.00\);_([$€-2]\ * &quot;-&quot;??_)"/>
    <numFmt numFmtId="176" formatCode="&quot;$&quot;#,##0.00\ ;\(&quot;$&quot;#,##0.00\)"/>
    <numFmt numFmtId="177" formatCode="[$S/.-280A]\ #,##0.00;[$S/.-280A]\ \-#,##0.00"/>
    <numFmt numFmtId="178" formatCode="#,000"/>
    <numFmt numFmtId="179" formatCode="&quot;S/.&quot;\ #,##0.00"/>
    <numFmt numFmtId="180" formatCode="#,##0.0"/>
    <numFmt numFmtId="181" formatCode="_-* #,##0.00\ [$€]_-;\-* #,##0.00\ [$€]_-;_-* &quot;-&quot;??\ [$€]_-;_-@_-"/>
    <numFmt numFmtId="182" formatCode="\$#.00"/>
    <numFmt numFmtId="183" formatCode="#.00"/>
    <numFmt numFmtId="184" formatCode="#,##0.000_ ;\-#,##0.000\ "/>
    <numFmt numFmtId="185" formatCode="0.0"/>
    <numFmt numFmtId="186" formatCode="_-* #,##0.00\ _€_-;\-* #,##0.00\ _€_-;_-* &quot;-&quot;??\ _€_-;_-@_-"/>
  </numFmts>
  <fonts count="11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color indexed="10"/>
      <name val="Tahoma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2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u/>
      <sz val="16"/>
      <name val="Arial"/>
      <family val="2"/>
    </font>
    <font>
      <b/>
      <sz val="24"/>
      <color indexed="18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30"/>
      <name val="Microsoft Sans Serif"/>
      <family val="2"/>
    </font>
    <font>
      <b/>
      <sz val="10"/>
      <color indexed="30"/>
      <name val="Arial"/>
      <family val="2"/>
    </font>
    <font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30"/>
      <name val="Arial"/>
      <family val="2"/>
    </font>
    <font>
      <b/>
      <sz val="11"/>
      <color indexed="30"/>
      <name val="Microsoft Sans Serif"/>
      <family val="2"/>
    </font>
    <font>
      <b/>
      <sz val="10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Calibri"/>
      <family val="2"/>
    </font>
    <font>
      <b/>
      <sz val="11"/>
      <color indexed="27"/>
      <name val="Calibri"/>
      <family val="2"/>
    </font>
    <font>
      <b/>
      <sz val="11"/>
      <color indexed="10"/>
      <name val="Calibri"/>
      <family val="2"/>
    </font>
    <font>
      <b/>
      <sz val="11"/>
      <color indexed="47"/>
      <name val="Calibri"/>
      <family val="2"/>
    </font>
    <font>
      <b/>
      <sz val="11"/>
      <color indexed="12"/>
      <name val="Calibri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u/>
      <sz val="11"/>
      <color indexed="8"/>
      <name val="Arial"/>
      <family val="2"/>
    </font>
    <font>
      <b/>
      <i/>
      <u/>
      <sz val="13"/>
      <name val="Arial Narrow"/>
      <family val="2"/>
    </font>
    <font>
      <b/>
      <sz val="9"/>
      <color indexed="8"/>
      <name val="Arial Narrow"/>
      <family val="2"/>
    </font>
    <font>
      <b/>
      <u/>
      <sz val="11"/>
      <name val="Calibri"/>
      <family val="2"/>
    </font>
    <font>
      <b/>
      <sz val="28"/>
      <color indexed="18"/>
      <name val="Bodoni MT Black"/>
      <family val="1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b/>
      <sz val="7"/>
      <name val="Arial"/>
      <family val="2"/>
    </font>
    <font>
      <b/>
      <sz val="2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Univers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</borders>
  <cellStyleXfs count="129">
    <xf numFmtId="0" fontId="0" fillId="0" borderId="0"/>
    <xf numFmtId="0" fontId="94" fillId="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5" fillId="3" borderId="1" applyNumberFormat="0" applyAlignment="0" applyProtection="0"/>
    <xf numFmtId="0" fontId="96" fillId="4" borderId="2" applyNumberFormat="0" applyAlignment="0" applyProtection="0"/>
    <xf numFmtId="0" fontId="97" fillId="0" borderId="3" applyNumberFormat="0" applyFill="0" applyAlignment="0" applyProtection="0"/>
    <xf numFmtId="0" fontId="24" fillId="0" borderId="0" applyProtection="0"/>
    <xf numFmtId="0" fontId="104" fillId="0" borderId="0">
      <protection locked="0"/>
    </xf>
    <xf numFmtId="0" fontId="33" fillId="0" borderId="0" applyProtection="0"/>
    <xf numFmtId="0" fontId="105" fillId="0" borderId="0">
      <protection locked="0"/>
    </xf>
    <xf numFmtId="0" fontId="25" fillId="0" borderId="0" applyProtection="0"/>
    <xf numFmtId="0" fontId="105" fillId="0" borderId="0">
      <protection locked="0"/>
    </xf>
    <xf numFmtId="0" fontId="98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2" fillId="11" borderId="0" applyNumberFormat="0" applyBorder="0" applyAlignment="0" applyProtection="0"/>
    <xf numFmtId="0" fontId="62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8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1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9" fillId="16" borderId="1" applyNumberFormat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24" fillId="0" borderId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2" fontId="24" fillId="0" borderId="0" applyProtection="0"/>
    <xf numFmtId="183" fontId="104" fillId="0" borderId="0">
      <protection locked="0"/>
    </xf>
    <xf numFmtId="4" fontId="24" fillId="0" borderId="0" applyProtection="0"/>
    <xf numFmtId="4" fontId="104" fillId="0" borderId="0">
      <protection locked="0"/>
    </xf>
    <xf numFmtId="0" fontId="100" fillId="1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24" fillId="0" borderId="0" applyProtection="0"/>
    <xf numFmtId="182" fontId="104" fillId="0" borderId="0">
      <protection locked="0"/>
    </xf>
    <xf numFmtId="0" fontId="17" fillId="0" borderId="0" applyNumberFormat="0" applyFont="0" applyFill="0" applyBorder="0" applyAlignment="0" applyProtection="0"/>
    <xf numFmtId="0" fontId="101" fillId="19" borderId="0" applyNumberFormat="0" applyBorder="0" applyAlignment="0" applyProtection="0"/>
    <xf numFmtId="0" fontId="43" fillId="0" borderId="0"/>
    <xf numFmtId="0" fontId="113" fillId="0" borderId="0">
      <alignment vertical="top"/>
    </xf>
    <xf numFmtId="0" fontId="112" fillId="0" borderId="0"/>
    <xf numFmtId="0" fontId="20" fillId="0" borderId="0">
      <alignment vertical="center"/>
    </xf>
    <xf numFmtId="0" fontId="8" fillId="0" borderId="0">
      <alignment vertical="center"/>
    </xf>
    <xf numFmtId="0" fontId="1" fillId="0" borderId="0"/>
    <xf numFmtId="0" fontId="111" fillId="0" borderId="0"/>
    <xf numFmtId="0" fontId="106" fillId="0" borderId="0">
      <alignment vertical="center"/>
    </xf>
    <xf numFmtId="0" fontId="1" fillId="0" borderId="0"/>
    <xf numFmtId="0" fontId="8" fillId="0" borderId="0">
      <alignment vertical="center"/>
    </xf>
    <xf numFmtId="0" fontId="44" fillId="0" borderId="0" pivotButton="1"/>
    <xf numFmtId="0" fontId="1" fillId="0" borderId="0"/>
    <xf numFmtId="0" fontId="42" fillId="0" borderId="0"/>
    <xf numFmtId="0" fontId="112" fillId="0" borderId="0"/>
    <xf numFmtId="0" fontId="1" fillId="0" borderId="0"/>
    <xf numFmtId="0" fontId="9" fillId="0" borderId="0">
      <alignment vertical="top"/>
    </xf>
    <xf numFmtId="178" fontId="1" fillId="0" borderId="0"/>
    <xf numFmtId="0" fontId="1" fillId="1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1" fillId="3" borderId="5" applyNumberFormat="0" applyAlignment="0" applyProtection="0"/>
    <xf numFmtId="0" fontId="70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8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9" applyProtection="0"/>
    <xf numFmtId="0" fontId="61" fillId="0" borderId="10" applyNumberFormat="0" applyFill="0" applyAlignment="0" applyProtection="0"/>
    <xf numFmtId="0" fontId="1" fillId="0" borderId="0"/>
  </cellStyleXfs>
  <cellXfs count="102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1" fillId="0" borderId="0" xfId="0" applyFont="1" applyFill="1"/>
    <xf numFmtId="0" fontId="0" fillId="20" borderId="0" xfId="0" applyFill="1"/>
    <xf numFmtId="0" fontId="0" fillId="20" borderId="0" xfId="0" applyFill="1" applyBorder="1"/>
    <xf numFmtId="0" fontId="2" fillId="20" borderId="0" xfId="0" applyFont="1" applyFill="1"/>
    <xf numFmtId="0" fontId="3" fillId="20" borderId="0" xfId="0" quotePrefix="1" applyFont="1" applyFill="1" applyAlignment="1"/>
    <xf numFmtId="0" fontId="3" fillId="20" borderId="0" xfId="0" applyFont="1" applyFill="1" applyAlignment="1"/>
    <xf numFmtId="4" fontId="13" fillId="20" borderId="0" xfId="0" applyNumberFormat="1" applyFont="1" applyFill="1" applyBorder="1"/>
    <xf numFmtId="0" fontId="4" fillId="20" borderId="0" xfId="0" applyFont="1" applyFill="1"/>
    <xf numFmtId="0" fontId="6" fillId="20" borderId="0" xfId="0" applyFont="1" applyFill="1" applyBorder="1" applyAlignment="1">
      <alignment horizontal="centerContinuous"/>
    </xf>
    <xf numFmtId="0" fontId="19" fillId="20" borderId="0" xfId="0" quotePrefix="1" applyFont="1" applyFill="1" applyAlignment="1">
      <alignment horizontal="left"/>
    </xf>
    <xf numFmtId="0" fontId="19" fillId="20" borderId="0" xfId="0" applyFont="1" applyFill="1"/>
    <xf numFmtId="0" fontId="18" fillId="20" borderId="0" xfId="0" applyFont="1" applyFill="1"/>
    <xf numFmtId="0" fontId="18" fillId="0" borderId="0" xfId="0" applyFont="1"/>
    <xf numFmtId="0" fontId="7" fillId="20" borderId="0" xfId="0" applyFont="1" applyFill="1" applyAlignment="1"/>
    <xf numFmtId="0" fontId="7" fillId="20" borderId="0" xfId="0" quotePrefix="1" applyFont="1" applyFill="1" applyAlignment="1"/>
    <xf numFmtId="0" fontId="15" fillId="0" borderId="0" xfId="0" applyFont="1" applyFill="1" applyAlignment="1"/>
    <xf numFmtId="0" fontId="16" fillId="20" borderId="0" xfId="0" applyFont="1" applyFill="1" applyBorder="1" applyAlignment="1">
      <alignment horizontal="centerContinuous"/>
    </xf>
    <xf numFmtId="169" fontId="13" fillId="20" borderId="0" xfId="0" applyNumberFormat="1" applyFont="1" applyFill="1" applyBorder="1"/>
    <xf numFmtId="1" fontId="13" fillId="20" borderId="0" xfId="0" applyNumberFormat="1" applyFont="1" applyFill="1" applyBorder="1"/>
    <xf numFmtId="15" fontId="13" fillId="20" borderId="0" xfId="0" applyNumberFormat="1" applyFont="1" applyFill="1" applyBorder="1"/>
    <xf numFmtId="4" fontId="9" fillId="2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23" fillId="0" borderId="0" xfId="0" applyFont="1" applyBorder="1"/>
    <xf numFmtId="0" fontId="1" fillId="0" borderId="0" xfId="0" applyFont="1" applyFill="1" applyBorder="1"/>
    <xf numFmtId="0" fontId="22" fillId="0" borderId="0" xfId="0" applyFont="1" applyFill="1" applyAlignment="1">
      <alignment horizontal="center"/>
    </xf>
    <xf numFmtId="4" fontId="3" fillId="20" borderId="0" xfId="0" applyNumberFormat="1" applyFont="1" applyFill="1" applyAlignment="1"/>
    <xf numFmtId="4" fontId="3" fillId="20" borderId="0" xfId="0" applyNumberFormat="1" applyFont="1" applyFill="1" applyAlignment="1">
      <alignment horizontal="left"/>
    </xf>
    <xf numFmtId="0" fontId="28" fillId="0" borderId="0" xfId="0" applyFont="1" applyFill="1"/>
    <xf numFmtId="174" fontId="3" fillId="20" borderId="0" xfId="0" applyNumberFormat="1" applyFont="1" applyFill="1" applyAlignment="1">
      <alignment horizontal="left"/>
    </xf>
    <xf numFmtId="0" fontId="7" fillId="20" borderId="0" xfId="0" quotePrefix="1" applyFont="1" applyFill="1" applyBorder="1" applyAlignment="1"/>
    <xf numFmtId="0" fontId="37" fillId="20" borderId="0" xfId="0" applyFont="1" applyFill="1"/>
    <xf numFmtId="0" fontId="38" fillId="20" borderId="0" xfId="0" applyFont="1" applyFill="1"/>
    <xf numFmtId="0" fontId="38" fillId="0" borderId="0" xfId="0" applyFont="1"/>
    <xf numFmtId="0" fontId="40" fillId="20" borderId="0" xfId="0" quotePrefix="1" applyFont="1" applyFill="1" applyAlignment="1">
      <alignment horizontal="left"/>
    </xf>
    <xf numFmtId="0" fontId="40" fillId="20" borderId="0" xfId="0" applyFont="1" applyFill="1"/>
    <xf numFmtId="0" fontId="39" fillId="20" borderId="11" xfId="0" applyFont="1" applyFill="1" applyBorder="1" applyAlignment="1">
      <alignment horizontal="center"/>
    </xf>
    <xf numFmtId="0" fontId="39" fillId="20" borderId="12" xfId="0" quotePrefix="1" applyFont="1" applyFill="1" applyBorder="1" applyAlignment="1">
      <alignment horizontal="center"/>
    </xf>
    <xf numFmtId="0" fontId="39" fillId="20" borderId="13" xfId="0" applyFont="1" applyFill="1" applyBorder="1"/>
    <xf numFmtId="0" fontId="39" fillId="20" borderId="12" xfId="0" applyFont="1" applyFill="1" applyBorder="1"/>
    <xf numFmtId="0" fontId="39" fillId="20" borderId="14" xfId="0" applyFont="1" applyFill="1" applyBorder="1"/>
    <xf numFmtId="0" fontId="39" fillId="20" borderId="15" xfId="0" quotePrefix="1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/>
    </xf>
    <xf numFmtId="0" fontId="39" fillId="20" borderId="17" xfId="0" applyFont="1" applyFill="1" applyBorder="1" applyAlignment="1">
      <alignment horizontal="center"/>
    </xf>
    <xf numFmtId="0" fontId="39" fillId="20" borderId="0" xfId="0" applyFont="1" applyFill="1" applyBorder="1" applyAlignment="1">
      <alignment horizontal="center"/>
    </xf>
    <xf numFmtId="0" fontId="39" fillId="20" borderId="18" xfId="0" applyFont="1" applyFill="1" applyBorder="1" applyAlignment="1">
      <alignment horizontal="centerContinuous"/>
    </xf>
    <xf numFmtId="0" fontId="39" fillId="20" borderId="0" xfId="0" applyFont="1" applyFill="1" applyBorder="1" applyAlignment="1">
      <alignment horizontal="centerContinuous"/>
    </xf>
    <xf numFmtId="0" fontId="39" fillId="20" borderId="19" xfId="0" applyFont="1" applyFill="1" applyBorder="1" applyAlignment="1">
      <alignment horizontal="centerContinuous"/>
    </xf>
    <xf numFmtId="0" fontId="39" fillId="20" borderId="20" xfId="0" quotePrefix="1" applyFont="1" applyFill="1" applyBorder="1" applyAlignment="1">
      <alignment horizontal="center"/>
    </xf>
    <xf numFmtId="17" fontId="39" fillId="20" borderId="21" xfId="0" quotePrefix="1" applyNumberFormat="1" applyFont="1" applyFill="1" applyBorder="1" applyAlignment="1">
      <alignment horizontal="center"/>
    </xf>
    <xf numFmtId="0" fontId="39" fillId="20" borderId="22" xfId="0" quotePrefix="1" applyFont="1" applyFill="1" applyBorder="1" applyAlignment="1">
      <alignment horizontal="center"/>
    </xf>
    <xf numFmtId="0" fontId="39" fillId="20" borderId="23" xfId="0" quotePrefix="1" applyFont="1" applyFill="1" applyBorder="1" applyAlignment="1">
      <alignment horizontal="center"/>
    </xf>
    <xf numFmtId="0" fontId="39" fillId="20" borderId="24" xfId="0" applyFont="1" applyFill="1" applyBorder="1"/>
    <xf numFmtId="0" fontId="39" fillId="20" borderId="23" xfId="0" applyFont="1" applyFill="1" applyBorder="1"/>
    <xf numFmtId="0" fontId="39" fillId="20" borderId="25" xfId="0" applyFont="1" applyFill="1" applyBorder="1"/>
    <xf numFmtId="0" fontId="39" fillId="20" borderId="26" xfId="0" quotePrefix="1" applyFont="1" applyFill="1" applyBorder="1" applyAlignment="1">
      <alignment horizontal="center"/>
    </xf>
    <xf numFmtId="0" fontId="39" fillId="20" borderId="23" xfId="0" applyFont="1" applyFill="1" applyBorder="1" applyAlignment="1">
      <alignment horizontal="center"/>
    </xf>
    <xf numFmtId="0" fontId="39" fillId="20" borderId="27" xfId="0" applyFont="1" applyFill="1" applyBorder="1" applyAlignment="1">
      <alignment horizontal="center"/>
    </xf>
    <xf numFmtId="0" fontId="39" fillId="20" borderId="25" xfId="0" applyFont="1" applyFill="1" applyBorder="1" applyAlignment="1">
      <alignment horizontal="center"/>
    </xf>
    <xf numFmtId="0" fontId="39" fillId="20" borderId="28" xfId="0" applyFont="1" applyFill="1" applyBorder="1" applyAlignment="1">
      <alignment horizontal="center"/>
    </xf>
    <xf numFmtId="0" fontId="41" fillId="20" borderId="29" xfId="0" applyFont="1" applyFill="1" applyBorder="1"/>
    <xf numFmtId="0" fontId="41" fillId="20" borderId="13" xfId="0" applyFont="1" applyFill="1" applyBorder="1"/>
    <xf numFmtId="0" fontId="41" fillId="20" borderId="12" xfId="0" applyFont="1" applyFill="1" applyBorder="1"/>
    <xf numFmtId="0" fontId="41" fillId="20" borderId="14" xfId="0" applyFont="1" applyFill="1" applyBorder="1"/>
    <xf numFmtId="0" fontId="41" fillId="20" borderId="15" xfId="0" applyFont="1" applyFill="1" applyBorder="1"/>
    <xf numFmtId="173" fontId="41" fillId="20" borderId="12" xfId="0" applyNumberFormat="1" applyFont="1" applyFill="1" applyBorder="1"/>
    <xf numFmtId="0" fontId="41" fillId="20" borderId="16" xfId="0" applyFont="1" applyFill="1" applyBorder="1"/>
    <xf numFmtId="0" fontId="37" fillId="20" borderId="0" xfId="0" applyFont="1" applyFill="1" applyBorder="1"/>
    <xf numFmtId="0" fontId="41" fillId="20" borderId="30" xfId="0" applyFont="1" applyFill="1" applyBorder="1" applyAlignment="1">
      <alignment horizontal="center"/>
    </xf>
    <xf numFmtId="0" fontId="39" fillId="20" borderId="18" xfId="0" applyFont="1" applyFill="1" applyBorder="1" applyAlignment="1">
      <alignment horizontal="center"/>
    </xf>
    <xf numFmtId="0" fontId="41" fillId="20" borderId="18" xfId="0" applyFont="1" applyFill="1" applyBorder="1" applyAlignment="1">
      <alignment horizontal="left"/>
    </xf>
    <xf numFmtId="0" fontId="41" fillId="20" borderId="0" xfId="0" applyFont="1" applyFill="1" applyBorder="1"/>
    <xf numFmtId="0" fontId="41" fillId="20" borderId="19" xfId="0" applyFont="1" applyFill="1" applyBorder="1"/>
    <xf numFmtId="168" fontId="41" fillId="20" borderId="20" xfId="0" applyNumberFormat="1" applyFont="1" applyFill="1" applyBorder="1"/>
    <xf numFmtId="10" fontId="41" fillId="20" borderId="0" xfId="112" applyNumberFormat="1" applyFont="1" applyFill="1" applyBorder="1"/>
    <xf numFmtId="2" fontId="41" fillId="20" borderId="31" xfId="0" applyNumberFormat="1" applyFont="1" applyFill="1" applyBorder="1"/>
    <xf numFmtId="2" fontId="37" fillId="20" borderId="0" xfId="0" applyNumberFormat="1" applyFont="1" applyFill="1" applyBorder="1"/>
    <xf numFmtId="0" fontId="41" fillId="20" borderId="32" xfId="0" applyFont="1" applyFill="1" applyBorder="1"/>
    <xf numFmtId="0" fontId="39" fillId="20" borderId="33" xfId="0" applyFont="1" applyFill="1" applyBorder="1"/>
    <xf numFmtId="0" fontId="41" fillId="20" borderId="34" xfId="0" applyFont="1" applyFill="1" applyBorder="1"/>
    <xf numFmtId="0" fontId="41" fillId="20" borderId="35" xfId="0" applyFont="1" applyFill="1" applyBorder="1"/>
    <xf numFmtId="168" fontId="41" fillId="20" borderId="36" xfId="0" applyNumberFormat="1" applyFont="1" applyFill="1" applyBorder="1"/>
    <xf numFmtId="173" fontId="41" fillId="20" borderId="34" xfId="112" applyNumberFormat="1" applyFont="1" applyFill="1" applyBorder="1"/>
    <xf numFmtId="2" fontId="41" fillId="20" borderId="37" xfId="0" applyNumberFormat="1" applyFont="1" applyFill="1" applyBorder="1"/>
    <xf numFmtId="168" fontId="41" fillId="20" borderId="38" xfId="0" applyNumberFormat="1" applyFont="1" applyFill="1" applyBorder="1"/>
    <xf numFmtId="168" fontId="40" fillId="20" borderId="0" xfId="0" applyNumberFormat="1" applyFont="1" applyFill="1" applyBorder="1"/>
    <xf numFmtId="0" fontId="41" fillId="20" borderId="39" xfId="0" applyFont="1" applyFill="1" applyBorder="1"/>
    <xf numFmtId="0" fontId="39" fillId="20" borderId="40" xfId="0" applyFont="1" applyFill="1" applyBorder="1"/>
    <xf numFmtId="0" fontId="41" fillId="20" borderId="40" xfId="0" applyFont="1" applyFill="1" applyBorder="1"/>
    <xf numFmtId="0" fontId="41" fillId="20" borderId="41" xfId="0" applyFont="1" applyFill="1" applyBorder="1"/>
    <xf numFmtId="0" fontId="41" fillId="20" borderId="42" xfId="0" applyFont="1" applyFill="1" applyBorder="1"/>
    <xf numFmtId="0" fontId="41" fillId="20" borderId="43" xfId="0" applyFont="1" applyFill="1" applyBorder="1"/>
    <xf numFmtId="173" fontId="41" fillId="20" borderId="41" xfId="0" applyNumberFormat="1" applyFont="1" applyFill="1" applyBorder="1"/>
    <xf numFmtId="0" fontId="41" fillId="20" borderId="18" xfId="0" applyFont="1" applyFill="1" applyBorder="1"/>
    <xf numFmtId="173" fontId="41" fillId="20" borderId="0" xfId="112" applyNumberFormat="1" applyFont="1" applyFill="1" applyBorder="1"/>
    <xf numFmtId="0" fontId="41" fillId="20" borderId="33" xfId="0" applyFont="1" applyFill="1" applyBorder="1"/>
    <xf numFmtId="168" fontId="41" fillId="20" borderId="43" xfId="0" applyNumberFormat="1" applyFont="1" applyFill="1" applyBorder="1"/>
    <xf numFmtId="173" fontId="41" fillId="20" borderId="41" xfId="112" applyNumberFormat="1" applyFont="1" applyFill="1" applyBorder="1"/>
    <xf numFmtId="0" fontId="41" fillId="20" borderId="31" xfId="0" applyFont="1" applyFill="1" applyBorder="1"/>
    <xf numFmtId="0" fontId="39" fillId="20" borderId="18" xfId="0" quotePrefix="1" applyFont="1" applyFill="1" applyBorder="1" applyAlignment="1">
      <alignment horizontal="center"/>
    </xf>
    <xf numFmtId="0" fontId="41" fillId="20" borderId="44" xfId="0" applyFont="1" applyFill="1" applyBorder="1"/>
    <xf numFmtId="0" fontId="41" fillId="20" borderId="26" xfId="0" applyFont="1" applyFill="1" applyBorder="1"/>
    <xf numFmtId="0" fontId="41" fillId="20" borderId="24" xfId="0" applyFont="1" applyFill="1" applyBorder="1"/>
    <xf numFmtId="0" fontId="41" fillId="20" borderId="23" xfId="0" applyFont="1" applyFill="1" applyBorder="1"/>
    <xf numFmtId="0" fontId="41" fillId="20" borderId="25" xfId="0" applyFont="1" applyFill="1" applyBorder="1"/>
    <xf numFmtId="168" fontId="41" fillId="20" borderId="26" xfId="0" applyNumberFormat="1" applyFont="1" applyFill="1" applyBorder="1"/>
    <xf numFmtId="173" fontId="41" fillId="20" borderId="23" xfId="112" applyNumberFormat="1" applyFont="1" applyFill="1" applyBorder="1"/>
    <xf numFmtId="0" fontId="39" fillId="20" borderId="45" xfId="0" applyFont="1" applyFill="1" applyBorder="1"/>
    <xf numFmtId="0" fontId="39" fillId="20" borderId="46" xfId="0" applyFont="1" applyFill="1" applyBorder="1"/>
    <xf numFmtId="0" fontId="39" fillId="20" borderId="47" xfId="0" applyFont="1" applyFill="1" applyBorder="1"/>
    <xf numFmtId="0" fontId="39" fillId="20" borderId="48" xfId="0" applyFont="1" applyFill="1" applyBorder="1"/>
    <xf numFmtId="168" fontId="39" fillId="20" borderId="48" xfId="0" applyNumberFormat="1" applyFont="1" applyFill="1" applyBorder="1"/>
    <xf numFmtId="168" fontId="39" fillId="20" borderId="46" xfId="112" applyNumberFormat="1" applyFont="1" applyFill="1" applyBorder="1"/>
    <xf numFmtId="2" fontId="39" fillId="20" borderId="49" xfId="0" applyNumberFormat="1" applyFont="1" applyFill="1" applyBorder="1"/>
    <xf numFmtId="168" fontId="39" fillId="20" borderId="50" xfId="0" applyNumberFormat="1" applyFont="1" applyFill="1" applyBorder="1"/>
    <xf numFmtId="0" fontId="38" fillId="20" borderId="0" xfId="0" quotePrefix="1" applyFont="1" applyFill="1" applyBorder="1" applyAlignment="1">
      <alignment horizontal="left"/>
    </xf>
    <xf numFmtId="168" fontId="38" fillId="20" borderId="0" xfId="0" applyNumberFormat="1" applyFont="1" applyFill="1" applyBorder="1"/>
    <xf numFmtId="10" fontId="38" fillId="20" borderId="0" xfId="112" applyNumberFormat="1" applyFont="1" applyFill="1" applyBorder="1"/>
    <xf numFmtId="2" fontId="38" fillId="20" borderId="0" xfId="0" applyNumberFormat="1" applyFont="1" applyFill="1" applyBorder="1"/>
    <xf numFmtId="0" fontId="38" fillId="20" borderId="0" xfId="0" applyFont="1" applyFill="1" applyBorder="1"/>
    <xf numFmtId="0" fontId="28" fillId="0" borderId="0" xfId="0" applyFont="1"/>
    <xf numFmtId="0" fontId="28" fillId="0" borderId="0" xfId="0" applyFont="1" applyBorder="1"/>
    <xf numFmtId="4" fontId="27" fillId="0" borderId="0" xfId="0" applyNumberFormat="1" applyFont="1" applyBorder="1"/>
    <xf numFmtId="0" fontId="28" fillId="0" borderId="23" xfId="0" applyFont="1" applyBorder="1"/>
    <xf numFmtId="4" fontId="29" fillId="0" borderId="0" xfId="0" applyNumberFormat="1" applyFont="1" applyBorder="1"/>
    <xf numFmtId="17" fontId="28" fillId="0" borderId="15" xfId="0" applyNumberFormat="1" applyFont="1" applyFill="1" applyBorder="1" applyAlignment="1">
      <alignment horizontal="center" vertical="center"/>
    </xf>
    <xf numFmtId="168" fontId="41" fillId="0" borderId="35" xfId="0" applyNumberFormat="1" applyFont="1" applyFill="1" applyBorder="1"/>
    <xf numFmtId="168" fontId="39" fillId="0" borderId="48" xfId="0" applyNumberFormat="1" applyFont="1" applyFill="1" applyBorder="1"/>
    <xf numFmtId="0" fontId="45" fillId="20" borderId="0" xfId="0" quotePrefix="1" applyFont="1" applyFill="1" applyBorder="1" applyAlignment="1">
      <alignment horizontal="left"/>
    </xf>
    <xf numFmtId="0" fontId="28" fillId="20" borderId="0" xfId="0" applyFont="1" applyFill="1" applyBorder="1"/>
    <xf numFmtId="0" fontId="28" fillId="20" borderId="0" xfId="0" applyFont="1" applyFill="1" applyAlignment="1">
      <alignment horizontal="centerContinuous"/>
    </xf>
    <xf numFmtId="0" fontId="29" fillId="20" borderId="29" xfId="0" applyFont="1" applyFill="1" applyBorder="1"/>
    <xf numFmtId="0" fontId="29" fillId="20" borderId="13" xfId="0" applyFont="1" applyFill="1" applyBorder="1"/>
    <xf numFmtId="0" fontId="29" fillId="20" borderId="12" xfId="0" applyFont="1" applyFill="1" applyBorder="1"/>
    <xf numFmtId="0" fontId="29" fillId="20" borderId="51" xfId="0" applyFont="1" applyFill="1" applyBorder="1" applyAlignment="1">
      <alignment horizontal="centerContinuous"/>
    </xf>
    <xf numFmtId="0" fontId="29" fillId="20" borderId="52" xfId="0" applyFont="1" applyFill="1" applyBorder="1" applyAlignment="1">
      <alignment horizontal="centerContinuous"/>
    </xf>
    <xf numFmtId="0" fontId="29" fillId="20" borderId="16" xfId="0" applyFont="1" applyFill="1" applyBorder="1" applyAlignment="1">
      <alignment horizontal="center"/>
    </xf>
    <xf numFmtId="0" fontId="29" fillId="20" borderId="30" xfId="0" applyFont="1" applyFill="1" applyBorder="1" applyAlignment="1">
      <alignment horizontal="center"/>
    </xf>
    <xf numFmtId="0" fontId="29" fillId="20" borderId="18" xfId="0" applyFont="1" applyFill="1" applyBorder="1" applyAlignment="1">
      <alignment horizontal="center"/>
    </xf>
    <xf numFmtId="0" fontId="29" fillId="20" borderId="53" xfId="0" applyFont="1" applyFill="1" applyBorder="1" applyAlignment="1">
      <alignment horizontal="center"/>
    </xf>
    <xf numFmtId="0" fontId="29" fillId="20" borderId="54" xfId="0" applyFont="1" applyFill="1" applyBorder="1" applyAlignment="1">
      <alignment horizontal="center"/>
    </xf>
    <xf numFmtId="0" fontId="29" fillId="20" borderId="42" xfId="0" applyFont="1" applyFill="1" applyBorder="1" applyAlignment="1">
      <alignment horizontal="center"/>
    </xf>
    <xf numFmtId="0" fontId="29" fillId="20" borderId="0" xfId="0" quotePrefix="1" applyFont="1" applyFill="1" applyBorder="1" applyAlignment="1">
      <alignment horizontal="center"/>
    </xf>
    <xf numFmtId="0" fontId="29" fillId="20" borderId="55" xfId="0" applyFont="1" applyFill="1" applyBorder="1" applyAlignment="1">
      <alignment horizontal="center"/>
    </xf>
    <xf numFmtId="0" fontId="29" fillId="20" borderId="30" xfId="0" quotePrefix="1" applyFont="1" applyFill="1" applyBorder="1" applyAlignment="1">
      <alignment horizontal="center"/>
    </xf>
    <xf numFmtId="0" fontId="29" fillId="20" borderId="18" xfId="0" quotePrefix="1" applyFont="1" applyFill="1" applyBorder="1" applyAlignment="1">
      <alignment horizontal="center"/>
    </xf>
    <xf numFmtId="0" fontId="29" fillId="20" borderId="56" xfId="0" applyFont="1" applyFill="1" applyBorder="1" applyAlignment="1">
      <alignment horizontal="center"/>
    </xf>
    <xf numFmtId="0" fontId="29" fillId="20" borderId="30" xfId="0" applyFont="1" applyFill="1" applyBorder="1"/>
    <xf numFmtId="0" fontId="29" fillId="20" borderId="18" xfId="0" applyFont="1" applyFill="1" applyBorder="1"/>
    <xf numFmtId="0" fontId="28" fillId="20" borderId="17" xfId="0" applyFont="1" applyFill="1" applyBorder="1" applyAlignment="1">
      <alignment horizontal="center"/>
    </xf>
    <xf numFmtId="0" fontId="28" fillId="20" borderId="31" xfId="0" applyFont="1" applyFill="1" applyBorder="1" applyAlignment="1">
      <alignment horizontal="center"/>
    </xf>
    <xf numFmtId="0" fontId="28" fillId="20" borderId="19" xfId="0" applyFont="1" applyFill="1" applyBorder="1" applyAlignment="1">
      <alignment horizontal="center"/>
    </xf>
    <xf numFmtId="0" fontId="29" fillId="20" borderId="0" xfId="0" applyFont="1" applyFill="1" applyBorder="1"/>
    <xf numFmtId="0" fontId="28" fillId="20" borderId="22" xfId="0" applyFont="1" applyFill="1" applyBorder="1" applyAlignment="1">
      <alignment horizontal="center"/>
    </xf>
    <xf numFmtId="0" fontId="28" fillId="20" borderId="28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0" fontId="28" fillId="20" borderId="26" xfId="0" applyFont="1" applyFill="1" applyBorder="1" applyAlignment="1">
      <alignment horizontal="center"/>
    </xf>
    <xf numFmtId="0" fontId="29" fillId="20" borderId="22" xfId="0" applyFont="1" applyFill="1" applyBorder="1" applyAlignment="1">
      <alignment horizontal="center"/>
    </xf>
    <xf numFmtId="0" fontId="29" fillId="20" borderId="28" xfId="0" applyFont="1" applyFill="1" applyBorder="1" applyAlignment="1">
      <alignment horizontal="center"/>
    </xf>
    <xf numFmtId="0" fontId="34" fillId="20" borderId="44" xfId="0" applyFont="1" applyFill="1" applyBorder="1" applyAlignment="1">
      <alignment horizontal="center"/>
    </xf>
    <xf numFmtId="0" fontId="34" fillId="20" borderId="24" xfId="0" quotePrefix="1" applyFont="1" applyFill="1" applyBorder="1" applyAlignment="1">
      <alignment horizontal="center"/>
    </xf>
    <xf numFmtId="0" fontId="29" fillId="20" borderId="27" xfId="0" applyFont="1" applyFill="1" applyBorder="1" applyAlignment="1">
      <alignment horizontal="center"/>
    </xf>
    <xf numFmtId="1" fontId="46" fillId="20" borderId="11" xfId="0" applyNumberFormat="1" applyFont="1" applyFill="1" applyBorder="1"/>
    <xf numFmtId="4" fontId="46" fillId="20" borderId="11" xfId="0" applyNumberFormat="1" applyFont="1" applyFill="1" applyBorder="1"/>
    <xf numFmtId="4" fontId="28" fillId="0" borderId="57" xfId="0" applyNumberFormat="1" applyFont="1" applyBorder="1"/>
    <xf numFmtId="4" fontId="46" fillId="20" borderId="58" xfId="0" applyNumberFormat="1" applyFont="1" applyFill="1" applyBorder="1"/>
    <xf numFmtId="169" fontId="46" fillId="20" borderId="57" xfId="0" applyNumberFormat="1" applyFont="1" applyFill="1" applyBorder="1" applyAlignment="1">
      <alignment horizontal="center"/>
    </xf>
    <xf numFmtId="4" fontId="46" fillId="20" borderId="17" xfId="0" applyNumberFormat="1" applyFont="1" applyFill="1" applyBorder="1"/>
    <xf numFmtId="4" fontId="46" fillId="20" borderId="59" xfId="0" applyNumberFormat="1" applyFont="1" applyFill="1" applyBorder="1"/>
    <xf numFmtId="4" fontId="46" fillId="20" borderId="19" xfId="0" applyNumberFormat="1" applyFont="1" applyFill="1" applyBorder="1"/>
    <xf numFmtId="4" fontId="47" fillId="20" borderId="30" xfId="0" applyNumberFormat="1" applyFont="1" applyFill="1" applyBorder="1"/>
    <xf numFmtId="4" fontId="46" fillId="20" borderId="31" xfId="0" applyNumberFormat="1" applyFont="1" applyFill="1" applyBorder="1"/>
    <xf numFmtId="4" fontId="46" fillId="20" borderId="0" xfId="0" applyNumberFormat="1" applyFont="1" applyFill="1" applyBorder="1" applyAlignment="1">
      <alignment horizontal="center"/>
    </xf>
    <xf numFmtId="4" fontId="47" fillId="20" borderId="56" xfId="0" applyNumberFormat="1" applyFont="1" applyFill="1" applyBorder="1" applyAlignment="1">
      <alignment horizontal="center"/>
    </xf>
    <xf numFmtId="1" fontId="46" fillId="20" borderId="17" xfId="0" applyNumberFormat="1" applyFont="1" applyFill="1" applyBorder="1"/>
    <xf numFmtId="4" fontId="28" fillId="0" borderId="59" xfId="0" applyNumberFormat="1" applyFont="1" applyBorder="1"/>
    <xf numFmtId="15" fontId="49" fillId="20" borderId="18" xfId="0" quotePrefix="1" applyNumberFormat="1" applyFont="1" applyFill="1" applyBorder="1" applyAlignment="1">
      <alignment horizontal="right"/>
    </xf>
    <xf numFmtId="4" fontId="49" fillId="20" borderId="17" xfId="0" applyNumberFormat="1" applyFont="1" applyFill="1" applyBorder="1"/>
    <xf numFmtId="4" fontId="35" fillId="0" borderId="31" xfId="0" applyNumberFormat="1" applyFont="1" applyBorder="1"/>
    <xf numFmtId="4" fontId="49" fillId="20" borderId="19" xfId="0" applyNumberFormat="1" applyFont="1" applyFill="1" applyBorder="1"/>
    <xf numFmtId="4" fontId="35" fillId="0" borderId="59" xfId="0" applyNumberFormat="1" applyFont="1" applyBorder="1"/>
    <xf numFmtId="169" fontId="49" fillId="20" borderId="0" xfId="0" applyNumberFormat="1" applyFont="1" applyFill="1" applyBorder="1" applyAlignment="1">
      <alignment horizontal="center"/>
    </xf>
    <xf numFmtId="4" fontId="49" fillId="20" borderId="59" xfId="0" applyNumberFormat="1" applyFont="1" applyFill="1" applyBorder="1"/>
    <xf numFmtId="4" fontId="48" fillId="20" borderId="30" xfId="0" applyNumberFormat="1" applyFont="1" applyFill="1" applyBorder="1"/>
    <xf numFmtId="4" fontId="49" fillId="20" borderId="0" xfId="0" applyNumberFormat="1" applyFont="1" applyFill="1" applyBorder="1"/>
    <xf numFmtId="4" fontId="49" fillId="20" borderId="56" xfId="0" applyNumberFormat="1" applyFont="1" applyFill="1" applyBorder="1" applyAlignment="1">
      <alignment horizontal="center"/>
    </xf>
    <xf numFmtId="1" fontId="48" fillId="20" borderId="22" xfId="0" applyNumberFormat="1" applyFont="1" applyFill="1" applyBorder="1"/>
    <xf numFmtId="15" fontId="49" fillId="20" borderId="24" xfId="0" quotePrefix="1" applyNumberFormat="1" applyFont="1" applyFill="1" applyBorder="1" applyAlignment="1">
      <alignment horizontal="right"/>
    </xf>
    <xf numFmtId="4" fontId="49" fillId="20" borderId="22" xfId="0" applyNumberFormat="1" applyFont="1" applyFill="1" applyBorder="1"/>
    <xf numFmtId="4" fontId="35" fillId="0" borderId="28" xfId="0" applyNumberFormat="1" applyFont="1" applyBorder="1"/>
    <xf numFmtId="4" fontId="49" fillId="20" borderId="25" xfId="0" applyNumberFormat="1" applyFont="1" applyFill="1" applyBorder="1"/>
    <xf numFmtId="4" fontId="35" fillId="0" borderId="60" xfId="0" applyNumberFormat="1" applyFont="1" applyBorder="1"/>
    <xf numFmtId="169" fontId="49" fillId="20" borderId="23" xfId="0" applyNumberFormat="1" applyFont="1" applyFill="1" applyBorder="1" applyAlignment="1">
      <alignment horizontal="center"/>
    </xf>
    <xf numFmtId="4" fontId="49" fillId="20" borderId="60" xfId="0" applyNumberFormat="1" applyFont="1" applyFill="1" applyBorder="1"/>
    <xf numFmtId="4" fontId="36" fillId="0" borderId="0" xfId="0" applyNumberFormat="1" applyFont="1" applyBorder="1"/>
    <xf numFmtId="17" fontId="12" fillId="20" borderId="0" xfId="0" quotePrefix="1" applyNumberFormat="1" applyFont="1" applyFill="1" applyBorder="1" applyAlignment="1">
      <alignment horizontal="center"/>
    </xf>
    <xf numFmtId="165" fontId="9" fillId="0" borderId="61" xfId="87" applyFont="1" applyFill="1" applyBorder="1" applyAlignment="1">
      <alignment horizontal="left" vertical="center" wrapText="1"/>
    </xf>
    <xf numFmtId="0" fontId="41" fillId="20" borderId="30" xfId="0" applyFont="1" applyFill="1" applyBorder="1"/>
    <xf numFmtId="168" fontId="41" fillId="0" borderId="19" xfId="0" applyNumberFormat="1" applyFont="1" applyFill="1" applyBorder="1"/>
    <xf numFmtId="0" fontId="41" fillId="20" borderId="32" xfId="0" applyFont="1" applyFill="1" applyBorder="1" applyAlignment="1">
      <alignment horizontal="center"/>
    </xf>
    <xf numFmtId="0" fontId="39" fillId="20" borderId="33" xfId="0" applyFont="1" applyFill="1" applyBorder="1" applyAlignment="1">
      <alignment horizontal="center"/>
    </xf>
    <xf numFmtId="0" fontId="41" fillId="20" borderId="33" xfId="0" applyFont="1" applyFill="1" applyBorder="1" applyAlignment="1">
      <alignment horizontal="left"/>
    </xf>
    <xf numFmtId="10" fontId="41" fillId="20" borderId="34" xfId="112" applyNumberFormat="1" applyFont="1" applyFill="1" applyBorder="1"/>
    <xf numFmtId="0" fontId="39" fillId="20" borderId="56" xfId="0" applyFont="1" applyFill="1" applyBorder="1" applyAlignment="1">
      <alignment horizontal="center"/>
    </xf>
    <xf numFmtId="165" fontId="1" fillId="0" borderId="0" xfId="82" applyFont="1" applyFill="1"/>
    <xf numFmtId="0" fontId="42" fillId="20" borderId="0" xfId="106" applyFill="1"/>
    <xf numFmtId="0" fontId="66" fillId="20" borderId="0" xfId="106" applyFont="1" applyFill="1" applyBorder="1" applyAlignment="1">
      <alignment horizontal="center" vertical="center"/>
    </xf>
    <xf numFmtId="9" fontId="66" fillId="20" borderId="0" xfId="118" applyFont="1" applyFill="1" applyBorder="1" applyAlignment="1">
      <alignment horizontal="center" vertical="center"/>
    </xf>
    <xf numFmtId="0" fontId="54" fillId="20" borderId="0" xfId="106" applyFont="1" applyFill="1"/>
    <xf numFmtId="0" fontId="14" fillId="20" borderId="0" xfId="106" applyFont="1" applyFill="1" applyBorder="1"/>
    <xf numFmtId="0" fontId="2" fillId="20" borderId="0" xfId="106" applyFont="1" applyFill="1" applyBorder="1"/>
    <xf numFmtId="0" fontId="53" fillId="20" borderId="0" xfId="106" applyFont="1" applyFill="1" applyBorder="1" applyAlignment="1">
      <alignment horizontal="center" vertical="center"/>
    </xf>
    <xf numFmtId="0" fontId="41" fillId="20" borderId="0" xfId="106" applyFont="1" applyFill="1"/>
    <xf numFmtId="9" fontId="41" fillId="20" borderId="0" xfId="118" applyFont="1" applyFill="1"/>
    <xf numFmtId="0" fontId="67" fillId="20" borderId="0" xfId="106" applyFont="1" applyFill="1" applyBorder="1" applyAlignment="1">
      <alignment vertical="center"/>
    </xf>
    <xf numFmtId="0" fontId="41" fillId="0" borderId="0" xfId="106" applyFont="1" applyFill="1"/>
    <xf numFmtId="9" fontId="53" fillId="20" borderId="0" xfId="118" applyFont="1" applyFill="1" applyBorder="1" applyAlignment="1">
      <alignment horizontal="center" vertical="center"/>
    </xf>
    <xf numFmtId="0" fontId="68" fillId="20" borderId="0" xfId="106" applyFont="1" applyFill="1" applyBorder="1" applyAlignment="1">
      <alignment horizontal="center" vertical="center"/>
    </xf>
    <xf numFmtId="0" fontId="57" fillId="21" borderId="62" xfId="106" applyFont="1" applyFill="1" applyBorder="1" applyAlignment="1">
      <alignment horizontal="center" vertical="center" wrapText="1"/>
    </xf>
    <xf numFmtId="4" fontId="67" fillId="21" borderId="63" xfId="106" applyNumberFormat="1" applyFont="1" applyFill="1" applyBorder="1" applyAlignment="1">
      <alignment horizontal="center" vertical="center"/>
    </xf>
    <xf numFmtId="0" fontId="42" fillId="21" borderId="0" xfId="106" applyFill="1"/>
    <xf numFmtId="0" fontId="69" fillId="0" borderId="64" xfId="106" applyFont="1" applyBorder="1" applyAlignment="1" applyProtection="1">
      <alignment vertical="center"/>
      <protection locked="0"/>
    </xf>
    <xf numFmtId="0" fontId="69" fillId="0" borderId="12" xfId="106" applyFont="1" applyBorder="1" applyAlignment="1" applyProtection="1">
      <alignment vertical="center"/>
      <protection locked="0"/>
    </xf>
    <xf numFmtId="0" fontId="9" fillId="0" borderId="64" xfId="106" applyFont="1" applyFill="1" applyBorder="1" applyAlignment="1">
      <alignment horizontal="center" vertical="center"/>
    </xf>
    <xf numFmtId="165" fontId="9" fillId="0" borderId="65" xfId="87" applyFont="1" applyFill="1" applyBorder="1" applyAlignment="1">
      <alignment horizontal="left" vertical="center" wrapText="1"/>
    </xf>
    <xf numFmtId="4" fontId="9" fillId="0" borderId="66" xfId="87" applyNumberFormat="1" applyFont="1" applyFill="1" applyBorder="1" applyAlignment="1">
      <alignment horizontal="left" vertical="center" wrapText="1"/>
    </xf>
    <xf numFmtId="9" fontId="9" fillId="0" borderId="66" xfId="118" applyFont="1" applyFill="1" applyBorder="1" applyAlignment="1">
      <alignment horizontal="left" vertical="center" wrapText="1"/>
    </xf>
    <xf numFmtId="0" fontId="42" fillId="0" borderId="0" xfId="106" applyFill="1"/>
    <xf numFmtId="0" fontId="71" fillId="20" borderId="67" xfId="106" applyFont="1" applyFill="1" applyBorder="1" applyAlignment="1">
      <alignment vertical="center" wrapText="1"/>
    </xf>
    <xf numFmtId="0" fontId="71" fillId="20" borderId="68" xfId="106" applyFont="1" applyFill="1" applyBorder="1" applyAlignment="1">
      <alignment vertical="center" wrapText="1"/>
    </xf>
    <xf numFmtId="0" fontId="9" fillId="0" borderId="69" xfId="106" applyFont="1" applyFill="1" applyBorder="1" applyAlignment="1">
      <alignment horizontal="center" vertical="center"/>
    </xf>
    <xf numFmtId="0" fontId="73" fillId="20" borderId="67" xfId="106" applyFont="1" applyFill="1" applyBorder="1" applyAlignment="1">
      <alignment vertical="center" wrapText="1"/>
    </xf>
    <xf numFmtId="0" fontId="74" fillId="20" borderId="68" xfId="106" applyFont="1" applyFill="1" applyBorder="1" applyAlignment="1">
      <alignment vertical="center" wrapText="1"/>
    </xf>
    <xf numFmtId="170" fontId="42" fillId="0" borderId="0" xfId="106" applyNumberFormat="1" applyFill="1"/>
    <xf numFmtId="0" fontId="76" fillId="20" borderId="68" xfId="106" applyFont="1" applyFill="1" applyBorder="1" applyAlignment="1">
      <alignment vertical="center" wrapText="1"/>
    </xf>
    <xf numFmtId="0" fontId="75" fillId="20" borderId="67" xfId="106" applyFont="1" applyFill="1" applyBorder="1" applyAlignment="1">
      <alignment vertical="center" wrapText="1"/>
    </xf>
    <xf numFmtId="4" fontId="75" fillId="20" borderId="70" xfId="106" applyNumberFormat="1" applyFont="1" applyFill="1" applyBorder="1" applyAlignment="1">
      <alignment vertical="center" wrapText="1"/>
    </xf>
    <xf numFmtId="0" fontId="77" fillId="20" borderId="67" xfId="106" applyFont="1" applyFill="1" applyBorder="1" applyAlignment="1">
      <alignment vertical="center" wrapText="1"/>
    </xf>
    <xf numFmtId="0" fontId="78" fillId="20" borderId="68" xfId="106" applyFont="1" applyFill="1" applyBorder="1" applyAlignment="1">
      <alignment vertical="center" wrapText="1"/>
    </xf>
    <xf numFmtId="0" fontId="74" fillId="20" borderId="68" xfId="106" applyFont="1" applyFill="1" applyBorder="1" applyAlignment="1">
      <alignment horizontal="left" vertical="center" wrapText="1" indent="1"/>
    </xf>
    <xf numFmtId="0" fontId="74" fillId="20" borderId="68" xfId="106" applyFont="1" applyFill="1" applyBorder="1" applyAlignment="1">
      <alignment horizontal="center" vertical="center" wrapText="1"/>
    </xf>
    <xf numFmtId="0" fontId="77" fillId="20" borderId="69" xfId="106" applyFont="1" applyFill="1" applyBorder="1" applyAlignment="1">
      <alignment vertical="center" wrapText="1"/>
    </xf>
    <xf numFmtId="0" fontId="78" fillId="20" borderId="71" xfId="106" applyFont="1" applyFill="1" applyBorder="1" applyAlignment="1">
      <alignment vertical="center" wrapText="1"/>
    </xf>
    <xf numFmtId="0" fontId="73" fillId="20" borderId="72" xfId="106" applyFont="1" applyFill="1" applyBorder="1" applyAlignment="1">
      <alignment vertical="center" wrapText="1"/>
    </xf>
    <xf numFmtId="0" fontId="74" fillId="20" borderId="73" xfId="106" applyFont="1" applyFill="1" applyBorder="1" applyAlignment="1">
      <alignment horizontal="left" vertical="center" wrapText="1" indent="1"/>
    </xf>
    <xf numFmtId="165" fontId="52" fillId="0" borderId="74" xfId="87" applyFont="1" applyFill="1" applyBorder="1" applyAlignment="1">
      <alignment horizontal="center" vertical="center" wrapText="1"/>
    </xf>
    <xf numFmtId="4" fontId="75" fillId="0" borderId="75" xfId="106" applyNumberFormat="1" applyFont="1" applyFill="1" applyBorder="1" applyAlignment="1">
      <alignment vertical="center"/>
    </xf>
    <xf numFmtId="4" fontId="42" fillId="0" borderId="0" xfId="106" applyNumberFormat="1" applyFill="1" applyBorder="1"/>
    <xf numFmtId="4" fontId="52" fillId="0" borderId="74" xfId="118" applyNumberFormat="1" applyFont="1" applyFill="1" applyBorder="1" applyAlignment="1">
      <alignment horizontal="center" vertical="center" wrapText="1"/>
    </xf>
    <xf numFmtId="4" fontId="75" fillId="0" borderId="59" xfId="106" applyNumberFormat="1" applyFont="1" applyFill="1" applyBorder="1" applyAlignment="1">
      <alignment vertical="center"/>
    </xf>
    <xf numFmtId="0" fontId="73" fillId="20" borderId="76" xfId="106" applyFont="1" applyFill="1" applyBorder="1" applyAlignment="1">
      <alignment vertical="center" wrapText="1"/>
    </xf>
    <xf numFmtId="165" fontId="52" fillId="0" borderId="77" xfId="87" applyFont="1" applyFill="1" applyBorder="1" applyAlignment="1">
      <alignment horizontal="left" vertical="center" wrapText="1"/>
    </xf>
    <xf numFmtId="4" fontId="42" fillId="0" borderId="0" xfId="106" applyNumberFormat="1" applyFill="1"/>
    <xf numFmtId="49" fontId="58" fillId="21" borderId="29" xfId="106" applyNumberFormat="1" applyFont="1" applyFill="1" applyBorder="1" applyAlignment="1">
      <alignment vertical="center"/>
    </xf>
    <xf numFmtId="0" fontId="58" fillId="21" borderId="12" xfId="106" applyFont="1" applyFill="1" applyBorder="1" applyAlignment="1">
      <alignment horizontal="center" vertical="center" wrapText="1"/>
    </xf>
    <xf numFmtId="0" fontId="58" fillId="21" borderId="12" xfId="106" applyFont="1" applyFill="1" applyBorder="1" applyAlignment="1">
      <alignment vertical="center"/>
    </xf>
    <xf numFmtId="4" fontId="58" fillId="21" borderId="12" xfId="106" applyNumberFormat="1" applyFont="1" applyFill="1" applyBorder="1"/>
    <xf numFmtId="4" fontId="42" fillId="21" borderId="0" xfId="106" applyNumberFormat="1" applyFill="1"/>
    <xf numFmtId="170" fontId="42" fillId="21" borderId="0" xfId="106" applyNumberFormat="1" applyFill="1"/>
    <xf numFmtId="49" fontId="58" fillId="21" borderId="30" xfId="106" applyNumberFormat="1" applyFont="1" applyFill="1" applyBorder="1" applyAlignment="1">
      <alignment vertical="center"/>
    </xf>
    <xf numFmtId="0" fontId="58" fillId="21" borderId="0" xfId="106" applyFont="1" applyFill="1" applyBorder="1" applyAlignment="1">
      <alignment horizontal="center" vertical="center" wrapText="1"/>
    </xf>
    <xf numFmtId="0" fontId="58" fillId="21" borderId="0" xfId="106" applyFont="1" applyFill="1" applyBorder="1" applyAlignment="1">
      <alignment vertical="center"/>
    </xf>
    <xf numFmtId="4" fontId="58" fillId="21" borderId="0" xfId="106" quotePrefix="1" applyNumberFormat="1" applyFont="1" applyFill="1" applyBorder="1" applyAlignment="1">
      <alignment horizontal="right" vertical="center"/>
    </xf>
    <xf numFmtId="49" fontId="58" fillId="21" borderId="44" xfId="106" applyNumberFormat="1" applyFont="1" applyFill="1" applyBorder="1" applyAlignment="1">
      <alignment vertical="center"/>
    </xf>
    <xf numFmtId="0" fontId="58" fillId="21" borderId="23" xfId="106" applyFont="1" applyFill="1" applyBorder="1" applyAlignment="1">
      <alignment horizontal="center" vertical="center" wrapText="1"/>
    </xf>
    <xf numFmtId="0" fontId="58" fillId="21" borderId="23" xfId="106" applyFont="1" applyFill="1" applyBorder="1" applyAlignment="1">
      <alignment vertical="center"/>
    </xf>
    <xf numFmtId="4" fontId="58" fillId="21" borderId="23" xfId="106" applyNumberFormat="1" applyFont="1" applyFill="1" applyBorder="1" applyAlignment="1">
      <alignment vertical="center"/>
    </xf>
    <xf numFmtId="165" fontId="52" fillId="0" borderId="66" xfId="87" applyFont="1" applyFill="1" applyBorder="1" applyAlignment="1">
      <alignment horizontal="center" vertical="center" wrapText="1"/>
    </xf>
    <xf numFmtId="4" fontId="52" fillId="0" borderId="78" xfId="118" applyNumberFormat="1" applyFont="1" applyFill="1" applyBorder="1" applyAlignment="1">
      <alignment horizontal="center" vertical="center" wrapText="1"/>
    </xf>
    <xf numFmtId="49" fontId="58" fillId="22" borderId="30" xfId="106" applyNumberFormat="1" applyFont="1" applyFill="1" applyBorder="1" applyAlignment="1">
      <alignment vertical="center"/>
    </xf>
    <xf numFmtId="0" fontId="58" fillId="22" borderId="0" xfId="106" applyFont="1" applyFill="1" applyBorder="1" applyAlignment="1">
      <alignment horizontal="center" vertical="center" wrapText="1"/>
    </xf>
    <xf numFmtId="0" fontId="58" fillId="22" borderId="0" xfId="106" applyFont="1" applyFill="1" applyBorder="1" applyAlignment="1">
      <alignment vertical="center"/>
    </xf>
    <xf numFmtId="4" fontId="58" fillId="22" borderId="0" xfId="106" applyNumberFormat="1" applyFont="1" applyFill="1" applyBorder="1" applyAlignment="1">
      <alignment vertical="center"/>
    </xf>
    <xf numFmtId="4" fontId="42" fillId="22" borderId="0" xfId="106" applyNumberFormat="1" applyFill="1"/>
    <xf numFmtId="0" fontId="42" fillId="22" borderId="0" xfId="106" applyFill="1"/>
    <xf numFmtId="170" fontId="42" fillId="22" borderId="0" xfId="106" applyNumberFormat="1" applyFill="1"/>
    <xf numFmtId="4" fontId="58" fillId="22" borderId="0" xfId="106" quotePrefix="1" applyNumberFormat="1" applyFont="1" applyFill="1" applyBorder="1" applyAlignment="1">
      <alignment horizontal="right" vertical="center"/>
    </xf>
    <xf numFmtId="0" fontId="58" fillId="22" borderId="34" xfId="106" applyFont="1" applyFill="1" applyBorder="1" applyAlignment="1">
      <alignment horizontal="center" vertical="center" wrapText="1"/>
    </xf>
    <xf numFmtId="0" fontId="58" fillId="22" borderId="34" xfId="106" applyFont="1" applyFill="1" applyBorder="1" applyAlignment="1">
      <alignment vertical="center"/>
    </xf>
    <xf numFmtId="4" fontId="58" fillId="22" borderId="34" xfId="106" applyNumberFormat="1" applyFont="1" applyFill="1" applyBorder="1" applyAlignment="1">
      <alignment vertical="center"/>
    </xf>
    <xf numFmtId="49" fontId="58" fillId="22" borderId="79" xfId="106" applyNumberFormat="1" applyFont="1" applyFill="1" applyBorder="1" applyAlignment="1">
      <alignment vertical="center"/>
    </xf>
    <xf numFmtId="0" fontId="58" fillId="22" borderId="41" xfId="106" applyFont="1" applyFill="1" applyBorder="1" applyAlignment="1">
      <alignment horizontal="center" vertical="center" wrapText="1"/>
    </xf>
    <xf numFmtId="0" fontId="58" fillId="22" borderId="41" xfId="106" applyFont="1" applyFill="1" applyBorder="1" applyAlignment="1">
      <alignment vertical="center"/>
    </xf>
    <xf numFmtId="10" fontId="58" fillId="22" borderId="80" xfId="106" applyNumberFormat="1" applyFont="1" applyFill="1" applyBorder="1" applyAlignment="1">
      <alignment horizontal="center" vertical="center"/>
    </xf>
    <xf numFmtId="49" fontId="58" fillId="22" borderId="81" xfId="106" applyNumberFormat="1" applyFont="1" applyFill="1" applyBorder="1" applyAlignment="1">
      <alignment vertical="center"/>
    </xf>
    <xf numFmtId="0" fontId="83" fillId="22" borderId="82" xfId="106" applyFont="1" applyFill="1" applyBorder="1" applyAlignment="1">
      <alignment horizontal="center" vertical="center" wrapText="1"/>
    </xf>
    <xf numFmtId="0" fontId="58" fillId="22" borderId="82" xfId="106" applyFont="1" applyFill="1" applyBorder="1" applyAlignment="1">
      <alignment vertical="center"/>
    </xf>
    <xf numFmtId="10" fontId="83" fillId="22" borderId="83" xfId="106" applyNumberFormat="1" applyFont="1" applyFill="1" applyBorder="1" applyAlignment="1">
      <alignment vertical="center"/>
    </xf>
    <xf numFmtId="49" fontId="42" fillId="20" borderId="0" xfId="106" applyNumberFormat="1" applyFill="1" applyAlignment="1">
      <alignment horizontal="center" vertical="center"/>
    </xf>
    <xf numFmtId="0" fontId="42" fillId="20" borderId="0" xfId="106" applyFill="1" applyAlignment="1">
      <alignment horizontal="center" vertical="center"/>
    </xf>
    <xf numFmtId="4" fontId="42" fillId="20" borderId="60" xfId="106" applyNumberFormat="1" applyFill="1" applyBorder="1" applyAlignment="1">
      <alignment horizontal="center" vertical="center"/>
    </xf>
    <xf numFmtId="4" fontId="42" fillId="20" borderId="23" xfId="106" applyNumberFormat="1" applyFill="1" applyBorder="1" applyAlignment="1">
      <alignment horizontal="center" vertical="center"/>
    </xf>
    <xf numFmtId="9" fontId="42" fillId="20" borderId="23" xfId="118" applyFont="1" applyFill="1" applyBorder="1" applyAlignment="1">
      <alignment horizontal="center" vertical="center"/>
    </xf>
    <xf numFmtId="4" fontId="79" fillId="20" borderId="23" xfId="106" applyNumberFormat="1" applyFont="1" applyFill="1" applyBorder="1" applyAlignment="1">
      <alignment horizontal="center" vertical="center"/>
    </xf>
    <xf numFmtId="0" fontId="42" fillId="20" borderId="0" xfId="106" applyFill="1" applyAlignment="1">
      <alignment horizontal="center"/>
    </xf>
    <xf numFmtId="4" fontId="42" fillId="20" borderId="0" xfId="106" applyNumberFormat="1" applyFill="1" applyAlignment="1">
      <alignment vertical="center"/>
    </xf>
    <xf numFmtId="4" fontId="42" fillId="20" borderId="0" xfId="118" applyNumberFormat="1" applyFont="1" applyFill="1" applyAlignment="1">
      <alignment vertical="center"/>
    </xf>
    <xf numFmtId="4" fontId="79" fillId="20" borderId="0" xfId="106" applyNumberFormat="1" applyFont="1" applyFill="1" applyAlignment="1">
      <alignment vertical="center"/>
    </xf>
    <xf numFmtId="4" fontId="42" fillId="20" borderId="0" xfId="106" applyNumberFormat="1" applyFill="1"/>
    <xf numFmtId="4" fontId="42" fillId="20" borderId="0" xfId="87" applyNumberFormat="1" applyFont="1" applyFill="1" applyAlignment="1">
      <alignment vertical="center"/>
    </xf>
    <xf numFmtId="49" fontId="42" fillId="20" borderId="0" xfId="106" applyNumberFormat="1" applyFill="1" applyAlignment="1">
      <alignment vertical="center"/>
    </xf>
    <xf numFmtId="0" fontId="42" fillId="20" borderId="0" xfId="106" applyFill="1" applyAlignment="1">
      <alignment vertical="center"/>
    </xf>
    <xf numFmtId="9" fontId="42" fillId="20" borderId="0" xfId="118" applyFont="1" applyFill="1" applyAlignment="1">
      <alignment vertical="center"/>
    </xf>
    <xf numFmtId="9" fontId="42" fillId="20" borderId="0" xfId="118" applyFont="1" applyFill="1"/>
    <xf numFmtId="0" fontId="79" fillId="20" borderId="0" xfId="106" applyFont="1" applyFill="1"/>
    <xf numFmtId="0" fontId="78" fillId="23" borderId="84" xfId="106" applyFont="1" applyFill="1" applyBorder="1" applyAlignment="1">
      <alignment horizontal="left" vertical="center" wrapText="1"/>
    </xf>
    <xf numFmtId="0" fontId="77" fillId="23" borderId="69" xfId="106" applyFont="1" applyFill="1" applyBorder="1" applyAlignment="1">
      <alignment vertical="center" wrapText="1"/>
    </xf>
    <xf numFmtId="10" fontId="83" fillId="22" borderId="82" xfId="106" applyNumberFormat="1" applyFont="1" applyFill="1" applyBorder="1" applyAlignment="1">
      <alignment horizontal="center" vertical="center"/>
    </xf>
    <xf numFmtId="168" fontId="41" fillId="0" borderId="56" xfId="0" applyNumberFormat="1" applyFont="1" applyFill="1" applyBorder="1"/>
    <xf numFmtId="168" fontId="41" fillId="0" borderId="37" xfId="0" applyNumberFormat="1" applyFont="1" applyFill="1" applyBorder="1"/>
    <xf numFmtId="168" fontId="41" fillId="0" borderId="0" xfId="0" applyNumberFormat="1" applyFont="1" applyFill="1" applyBorder="1"/>
    <xf numFmtId="168" fontId="41" fillId="0" borderId="34" xfId="0" applyNumberFormat="1" applyFont="1" applyFill="1" applyBorder="1"/>
    <xf numFmtId="168" fontId="41" fillId="0" borderId="85" xfId="0" applyNumberFormat="1" applyFont="1" applyFill="1" applyBorder="1"/>
    <xf numFmtId="168" fontId="41" fillId="0" borderId="42" xfId="0" applyNumberFormat="1" applyFont="1" applyFill="1" applyBorder="1"/>
    <xf numFmtId="0" fontId="1" fillId="0" borderId="0" xfId="0" applyFont="1"/>
    <xf numFmtId="0" fontId="2" fillId="20" borderId="0" xfId="0" applyFont="1" applyFill="1" applyAlignment="1"/>
    <xf numFmtId="0" fontId="2" fillId="20" borderId="0" xfId="0" quotePrefix="1" applyFont="1" applyFill="1" applyAlignment="1"/>
    <xf numFmtId="0" fontId="1" fillId="20" borderId="0" xfId="0" applyFont="1" applyFill="1" applyBorder="1"/>
    <xf numFmtId="0" fontId="3" fillId="0" borderId="0" xfId="0" applyFont="1"/>
    <xf numFmtId="4" fontId="1" fillId="0" borderId="0" xfId="0" applyNumberFormat="1" applyFont="1"/>
    <xf numFmtId="0" fontId="1" fillId="0" borderId="23" xfId="0" applyFont="1" applyBorder="1"/>
    <xf numFmtId="165" fontId="1" fillId="0" borderId="0" xfId="82" applyFont="1"/>
    <xf numFmtId="0" fontId="1" fillId="0" borderId="0" xfId="0" applyFont="1" applyBorder="1"/>
    <xf numFmtId="0" fontId="1" fillId="20" borderId="0" xfId="0" applyFont="1" applyFill="1"/>
    <xf numFmtId="0" fontId="1" fillId="20" borderId="0" xfId="0" applyFont="1" applyFill="1" applyAlignment="1">
      <alignment horizontal="centerContinuous"/>
    </xf>
    <xf numFmtId="0" fontId="42" fillId="21" borderId="0" xfId="106" applyFill="1" applyBorder="1"/>
    <xf numFmtId="0" fontId="42" fillId="0" borderId="0" xfId="106" applyFill="1" applyBorder="1"/>
    <xf numFmtId="0" fontId="42" fillId="22" borderId="0" xfId="106" applyFill="1" applyBorder="1"/>
    <xf numFmtId="4" fontId="60" fillId="22" borderId="0" xfId="106" applyNumberFormat="1" applyFont="1" applyFill="1" applyBorder="1"/>
    <xf numFmtId="2" fontId="42" fillId="22" borderId="0" xfId="106" applyNumberFormat="1" applyFill="1" applyBorder="1"/>
    <xf numFmtId="0" fontId="42" fillId="20" borderId="0" xfId="106" applyFill="1" applyBorder="1" applyAlignment="1">
      <alignment horizontal="center"/>
    </xf>
    <xf numFmtId="4" fontId="42" fillId="20" borderId="0" xfId="106" applyNumberFormat="1" applyFill="1" applyBorder="1"/>
    <xf numFmtId="0" fontId="42" fillId="20" borderId="0" xfId="106" applyFill="1" applyBorder="1"/>
    <xf numFmtId="0" fontId="73" fillId="20" borderId="17" xfId="106" applyFont="1" applyFill="1" applyBorder="1" applyAlignment="1">
      <alignment vertical="center" wrapText="1"/>
    </xf>
    <xf numFmtId="0" fontId="78" fillId="20" borderId="86" xfId="106" applyFont="1" applyFill="1" applyBorder="1" applyAlignment="1">
      <alignment horizontal="left" vertical="center" wrapText="1" indent="1"/>
    </xf>
    <xf numFmtId="165" fontId="64" fillId="0" borderId="87" xfId="87" applyFont="1" applyFill="1" applyBorder="1" applyAlignment="1">
      <alignment horizontal="left" vertical="center" wrapText="1"/>
    </xf>
    <xf numFmtId="165" fontId="9" fillId="0" borderId="13" xfId="87" applyFont="1" applyFill="1" applyBorder="1" applyAlignment="1">
      <alignment horizontal="left" vertical="center" wrapText="1"/>
    </xf>
    <xf numFmtId="165" fontId="9" fillId="0" borderId="18" xfId="87" applyFont="1" applyFill="1" applyBorder="1" applyAlignment="1">
      <alignment horizontal="left" vertical="center" wrapText="1"/>
    </xf>
    <xf numFmtId="165" fontId="9" fillId="0" borderId="68" xfId="87" applyFont="1" applyFill="1" applyBorder="1" applyAlignment="1">
      <alignment horizontal="left" vertical="center" wrapText="1"/>
    </xf>
    <xf numFmtId="165" fontId="58" fillId="21" borderId="0" xfId="82" applyFont="1" applyFill="1" applyBorder="1" applyAlignment="1">
      <alignment vertical="center"/>
    </xf>
    <xf numFmtId="0" fontId="74" fillId="20" borderId="87" xfId="106" applyFont="1" applyFill="1" applyBorder="1" applyAlignment="1">
      <alignment horizontal="left" vertical="center" wrapText="1" indent="1"/>
    </xf>
    <xf numFmtId="165" fontId="52" fillId="0" borderId="88" xfId="87" applyFont="1" applyFill="1" applyBorder="1" applyAlignment="1">
      <alignment horizontal="center" vertical="center" wrapText="1"/>
    </xf>
    <xf numFmtId="10" fontId="80" fillId="21" borderId="0" xfId="118" applyNumberFormat="1" applyFont="1" applyFill="1" applyBorder="1" applyAlignment="1">
      <alignment vertical="center"/>
    </xf>
    <xf numFmtId="10" fontId="81" fillId="21" borderId="0" xfId="118" applyNumberFormat="1" applyFont="1" applyFill="1" applyBorder="1" applyAlignment="1">
      <alignment vertical="center"/>
    </xf>
    <xf numFmtId="0" fontId="81" fillId="21" borderId="0" xfId="106" applyFont="1" applyFill="1" applyBorder="1" applyAlignment="1">
      <alignment vertical="center"/>
    </xf>
    <xf numFmtId="0" fontId="80" fillId="21" borderId="0" xfId="106" applyFont="1" applyFill="1" applyBorder="1" applyAlignment="1">
      <alignment vertical="center"/>
    </xf>
    <xf numFmtId="9" fontId="82" fillId="22" borderId="0" xfId="118" applyFont="1" applyFill="1" applyBorder="1" applyAlignment="1">
      <alignment vertical="center"/>
    </xf>
    <xf numFmtId="4" fontId="70" fillId="0" borderId="89" xfId="106" applyNumberFormat="1" applyFont="1" applyFill="1" applyBorder="1" applyAlignment="1">
      <alignment vertical="center"/>
    </xf>
    <xf numFmtId="4" fontId="70" fillId="0" borderId="90" xfId="106" applyNumberFormat="1" applyFont="1" applyFill="1" applyBorder="1" applyAlignment="1">
      <alignment vertical="center"/>
    </xf>
    <xf numFmtId="4" fontId="72" fillId="0" borderId="90" xfId="106" applyNumberFormat="1" applyFont="1" applyFill="1" applyBorder="1" applyAlignment="1">
      <alignment vertical="center"/>
    </xf>
    <xf numFmtId="4" fontId="75" fillId="0" borderId="90" xfId="106" applyNumberFormat="1" applyFont="1" applyFill="1" applyBorder="1" applyAlignment="1">
      <alignment vertical="center"/>
    </xf>
    <xf numFmtId="4" fontId="9" fillId="0" borderId="91" xfId="87" applyNumberFormat="1" applyFont="1" applyFill="1" applyBorder="1" applyAlignment="1">
      <alignment horizontal="left" vertical="center" wrapText="1"/>
    </xf>
    <xf numFmtId="4" fontId="39" fillId="21" borderId="56" xfId="106" applyNumberFormat="1" applyFont="1" applyFill="1" applyBorder="1" applyAlignment="1">
      <alignment vertical="center"/>
    </xf>
    <xf numFmtId="4" fontId="39" fillId="21" borderId="27" xfId="106" applyNumberFormat="1" applyFont="1" applyFill="1" applyBorder="1" applyAlignment="1">
      <alignment vertical="center"/>
    </xf>
    <xf numFmtId="4" fontId="39" fillId="21" borderId="16" xfId="106" applyNumberFormat="1" applyFont="1" applyFill="1" applyBorder="1" applyAlignment="1">
      <alignment vertical="center"/>
    </xf>
    <xf numFmtId="0" fontId="42" fillId="0" borderId="23" xfId="106" applyFont="1" applyFill="1" applyBorder="1" applyAlignment="1">
      <alignment vertical="top"/>
    </xf>
    <xf numFmtId="4" fontId="42" fillId="0" borderId="23" xfId="106" applyNumberFormat="1" applyFont="1" applyFill="1" applyBorder="1" applyAlignment="1">
      <alignment vertical="center"/>
    </xf>
    <xf numFmtId="165" fontId="0" fillId="0" borderId="23" xfId="87" applyFont="1" applyFill="1" applyBorder="1" applyAlignment="1">
      <alignment horizontal="left" vertical="center" wrapText="1"/>
    </xf>
    <xf numFmtId="165" fontId="0" fillId="0" borderId="92" xfId="87" applyFont="1" applyFill="1" applyBorder="1" applyAlignment="1">
      <alignment horizontal="left" vertical="center" wrapText="1"/>
    </xf>
    <xf numFmtId="9" fontId="0" fillId="0" borderId="23" xfId="118" applyFont="1" applyFill="1" applyBorder="1" applyAlignment="1">
      <alignment horizontal="left" vertical="center" wrapText="1"/>
    </xf>
    <xf numFmtId="165" fontId="79" fillId="0" borderId="60" xfId="87" applyFont="1" applyFill="1" applyBorder="1" applyAlignment="1">
      <alignment horizontal="left" vertical="center" wrapText="1"/>
    </xf>
    <xf numFmtId="165" fontId="58" fillId="21" borderId="56" xfId="82" applyFont="1" applyFill="1" applyBorder="1" applyAlignment="1">
      <alignment vertical="center"/>
    </xf>
    <xf numFmtId="4" fontId="58" fillId="21" borderId="27" xfId="106" applyNumberFormat="1" applyFont="1" applyFill="1" applyBorder="1" applyAlignment="1">
      <alignment vertical="center"/>
    </xf>
    <xf numFmtId="0" fontId="77" fillId="23" borderId="64" xfId="106" applyFont="1" applyFill="1" applyBorder="1" applyAlignment="1">
      <alignment vertical="center" wrapText="1"/>
    </xf>
    <xf numFmtId="0" fontId="78" fillId="23" borderId="93" xfId="106" applyFont="1" applyFill="1" applyBorder="1" applyAlignment="1">
      <alignment horizontal="left" vertical="center" wrapText="1"/>
    </xf>
    <xf numFmtId="0" fontId="59" fillId="0" borderId="44" xfId="106" applyFont="1" applyFill="1" applyBorder="1" applyAlignment="1">
      <alignment vertical="top"/>
    </xf>
    <xf numFmtId="0" fontId="42" fillId="0" borderId="60" xfId="106" applyFont="1" applyFill="1" applyBorder="1" applyAlignment="1">
      <alignment vertical="top"/>
    </xf>
    <xf numFmtId="0" fontId="42" fillId="0" borderId="26" xfId="106" applyFont="1" applyFill="1" applyBorder="1" applyAlignment="1">
      <alignment vertical="top"/>
    </xf>
    <xf numFmtId="0" fontId="42" fillId="0" borderId="44" xfId="106" applyFont="1" applyFill="1" applyBorder="1" applyAlignment="1">
      <alignment vertical="top"/>
    </xf>
    <xf numFmtId="0" fontId="78" fillId="20" borderId="77" xfId="106" applyFont="1" applyFill="1" applyBorder="1" applyAlignment="1">
      <alignment horizontal="left" vertical="center" wrapText="1" indent="1"/>
    </xf>
    <xf numFmtId="4" fontId="75" fillId="0" borderId="89" xfId="106" applyNumberFormat="1" applyFont="1" applyFill="1" applyBorder="1" applyAlignment="1">
      <alignment vertical="center"/>
    </xf>
    <xf numFmtId="165" fontId="58" fillId="21" borderId="23" xfId="82" applyFont="1" applyFill="1" applyBorder="1" applyAlignment="1">
      <alignment vertical="center"/>
    </xf>
    <xf numFmtId="4" fontId="58" fillId="21" borderId="56" xfId="106" quotePrefix="1" applyNumberFormat="1" applyFont="1" applyFill="1" applyBorder="1" applyAlignment="1">
      <alignment horizontal="right" vertical="center"/>
    </xf>
    <xf numFmtId="165" fontId="58" fillId="21" borderId="27" xfId="82" applyFont="1" applyFill="1" applyBorder="1" applyAlignment="1">
      <alignment vertical="center"/>
    </xf>
    <xf numFmtId="4" fontId="39" fillId="22" borderId="16" xfId="106" applyNumberFormat="1" applyFont="1" applyFill="1" applyBorder="1" applyAlignment="1">
      <alignment vertical="center"/>
    </xf>
    <xf numFmtId="4" fontId="58" fillId="22" borderId="56" xfId="106" applyNumberFormat="1" applyFont="1" applyFill="1" applyBorder="1" applyAlignment="1">
      <alignment vertical="center"/>
    </xf>
    <xf numFmtId="4" fontId="58" fillId="22" borderId="56" xfId="106" quotePrefix="1" applyNumberFormat="1" applyFont="1" applyFill="1" applyBorder="1" applyAlignment="1">
      <alignment horizontal="right" vertical="center"/>
    </xf>
    <xf numFmtId="4" fontId="58" fillId="22" borderId="37" xfId="106" applyNumberFormat="1" applyFont="1" applyFill="1" applyBorder="1" applyAlignment="1">
      <alignment vertical="center"/>
    </xf>
    <xf numFmtId="165" fontId="52" fillId="0" borderId="86" xfId="82" applyFont="1" applyFill="1" applyBorder="1" applyAlignment="1">
      <alignment horizontal="left" vertical="center" wrapText="1"/>
    </xf>
    <xf numFmtId="165" fontId="58" fillId="21" borderId="12" xfId="82" applyFont="1" applyFill="1" applyBorder="1" applyAlignment="1">
      <alignment vertical="center"/>
    </xf>
    <xf numFmtId="165" fontId="58" fillId="21" borderId="29" xfId="82" applyFont="1" applyFill="1" applyBorder="1" applyAlignment="1">
      <alignment vertical="center"/>
    </xf>
    <xf numFmtId="165" fontId="58" fillId="21" borderId="12" xfId="82" applyFont="1" applyFill="1" applyBorder="1" applyAlignment="1">
      <alignment horizontal="center" vertical="center" wrapText="1"/>
    </xf>
    <xf numFmtId="165" fontId="58" fillId="21" borderId="57" xfId="82" applyFont="1" applyFill="1" applyBorder="1" applyAlignment="1">
      <alignment vertical="center"/>
    </xf>
    <xf numFmtId="165" fontId="58" fillId="21" borderId="30" xfId="82" applyFont="1" applyFill="1" applyBorder="1" applyAlignment="1">
      <alignment vertical="center"/>
    </xf>
    <xf numFmtId="165" fontId="58" fillId="21" borderId="0" xfId="82" applyFont="1" applyFill="1" applyBorder="1" applyAlignment="1">
      <alignment horizontal="center" vertical="center" wrapText="1"/>
    </xf>
    <xf numFmtId="165" fontId="80" fillId="21" borderId="0" xfId="82" applyFont="1" applyFill="1" applyBorder="1" applyAlignment="1">
      <alignment vertical="center"/>
    </xf>
    <xf numFmtId="165" fontId="58" fillId="21" borderId="59" xfId="82" applyFont="1" applyFill="1" applyBorder="1" applyAlignment="1">
      <alignment vertical="center"/>
    </xf>
    <xf numFmtId="165" fontId="81" fillId="21" borderId="0" xfId="82" applyFont="1" applyFill="1" applyBorder="1" applyAlignment="1">
      <alignment vertical="center"/>
    </xf>
    <xf numFmtId="165" fontId="58" fillId="21" borderId="44" xfId="82" applyFont="1" applyFill="1" applyBorder="1" applyAlignment="1">
      <alignment vertical="center"/>
    </xf>
    <xf numFmtId="165" fontId="58" fillId="21" borderId="23" xfId="82" applyFont="1" applyFill="1" applyBorder="1" applyAlignment="1">
      <alignment horizontal="center" vertical="center" wrapText="1"/>
    </xf>
    <xf numFmtId="165" fontId="58" fillId="21" borderId="60" xfId="82" applyFont="1" applyFill="1" applyBorder="1" applyAlignment="1">
      <alignment vertical="center"/>
    </xf>
    <xf numFmtId="0" fontId="41" fillId="20" borderId="20" xfId="0" applyFont="1" applyFill="1" applyBorder="1"/>
    <xf numFmtId="173" fontId="41" fillId="20" borderId="0" xfId="0" applyNumberFormat="1" applyFont="1" applyFill="1" applyBorder="1"/>
    <xf numFmtId="171" fontId="11" fillId="0" borderId="0" xfId="112" applyNumberFormat="1" applyFont="1" applyFill="1"/>
    <xf numFmtId="0" fontId="85" fillId="0" borderId="0" xfId="0" applyFont="1" applyFill="1"/>
    <xf numFmtId="179" fontId="3" fillId="20" borderId="0" xfId="0" applyNumberFormat="1" applyFont="1" applyFill="1" applyAlignment="1">
      <alignment horizontal="left"/>
    </xf>
    <xf numFmtId="171" fontId="1" fillId="0" borderId="0" xfId="110" applyNumberFormat="1" applyFont="1" applyFill="1"/>
    <xf numFmtId="168" fontId="1" fillId="0" borderId="0" xfId="110" applyNumberFormat="1" applyFont="1" applyFill="1" applyAlignment="1">
      <alignment horizontal="center"/>
    </xf>
    <xf numFmtId="171" fontId="14" fillId="0" borderId="0" xfId="110" applyNumberFormat="1" applyFont="1" applyFill="1"/>
    <xf numFmtId="168" fontId="1" fillId="0" borderId="0" xfId="110" applyNumberFormat="1" applyFont="1" applyFill="1" applyBorder="1" applyAlignment="1">
      <alignment horizontal="center"/>
    </xf>
    <xf numFmtId="171" fontId="11" fillId="0" borderId="94" xfId="110" applyNumberFormat="1" applyFont="1" applyFill="1" applyBorder="1" applyAlignment="1">
      <alignment vertical="center"/>
    </xf>
    <xf numFmtId="171" fontId="5" fillId="0" borderId="80" xfId="110" applyNumberFormat="1" applyFont="1" applyFill="1" applyBorder="1"/>
    <xf numFmtId="171" fontId="1" fillId="0" borderId="80" xfId="110" applyNumberFormat="1" applyFont="1" applyFill="1" applyBorder="1"/>
    <xf numFmtId="168" fontId="1" fillId="0" borderId="80" xfId="110" applyNumberFormat="1" applyFont="1" applyFill="1" applyBorder="1" applyAlignment="1">
      <alignment horizontal="center"/>
    </xf>
    <xf numFmtId="171" fontId="1" fillId="0" borderId="95" xfId="110" applyNumberFormat="1" applyFont="1" applyFill="1" applyBorder="1"/>
    <xf numFmtId="171" fontId="28" fillId="0" borderId="0" xfId="110" applyNumberFormat="1" applyFont="1" applyFill="1"/>
    <xf numFmtId="168" fontId="28" fillId="0" borderId="0" xfId="110" applyNumberFormat="1" applyFont="1" applyFill="1" applyAlignment="1">
      <alignment horizontal="center"/>
    </xf>
    <xf numFmtId="171" fontId="28" fillId="0" borderId="0" xfId="110" applyNumberFormat="1" applyFont="1" applyFill="1" applyBorder="1"/>
    <xf numFmtId="171" fontId="90" fillId="0" borderId="0" xfId="0" applyNumberFormat="1" applyFont="1" applyFill="1"/>
    <xf numFmtId="171" fontId="12" fillId="0" borderId="0" xfId="0" applyNumberFormat="1" applyFont="1" applyFill="1" applyBorder="1"/>
    <xf numFmtId="171" fontId="27" fillId="0" borderId="0" xfId="110" applyNumberFormat="1" applyFont="1" applyFill="1"/>
    <xf numFmtId="171" fontId="29" fillId="0" borderId="0" xfId="110" applyNumberFormat="1" applyFont="1" applyFill="1"/>
    <xf numFmtId="171" fontId="30" fillId="0" borderId="96" xfId="110" applyNumberFormat="1" applyFont="1" applyFill="1" applyBorder="1" applyAlignment="1">
      <alignment horizontal="centerContinuous"/>
    </xf>
    <xf numFmtId="171" fontId="30" fillId="0" borderId="97" xfId="110" applyNumberFormat="1" applyFont="1" applyFill="1" applyBorder="1" applyAlignment="1">
      <alignment horizontal="centerContinuous"/>
    </xf>
    <xf numFmtId="171" fontId="30" fillId="0" borderId="16" xfId="110" applyNumberFormat="1" applyFont="1" applyFill="1" applyBorder="1" applyAlignment="1">
      <alignment horizontal="center"/>
    </xf>
    <xf numFmtId="168" fontId="30" fillId="0" borderId="57" xfId="110" applyNumberFormat="1" applyFont="1" applyFill="1" applyBorder="1" applyAlignment="1">
      <alignment horizontal="center"/>
    </xf>
    <xf numFmtId="171" fontId="30" fillId="0" borderId="57" xfId="110" applyNumberFormat="1" applyFont="1" applyFill="1" applyBorder="1" applyAlignment="1">
      <alignment horizontal="center"/>
    </xf>
    <xf numFmtId="171" fontId="30" fillId="0" borderId="12" xfId="110" applyNumberFormat="1" applyFont="1" applyFill="1" applyBorder="1" applyAlignment="1">
      <alignment horizontal="center"/>
    </xf>
    <xf numFmtId="171" fontId="30" fillId="0" borderId="15" xfId="110" applyNumberFormat="1" applyFont="1" applyFill="1" applyBorder="1" applyAlignment="1">
      <alignment horizontal="center"/>
    </xf>
    <xf numFmtId="171" fontId="30" fillId="0" borderId="15" xfId="110" applyNumberFormat="1" applyFont="1" applyFill="1" applyBorder="1" applyAlignment="1">
      <alignment horizontal="center" vertical="center" wrapText="1"/>
    </xf>
    <xf numFmtId="171" fontId="30" fillId="0" borderId="58" xfId="110" applyNumberFormat="1" applyFont="1" applyFill="1" applyBorder="1" applyAlignment="1">
      <alignment horizontal="center"/>
    </xf>
    <xf numFmtId="171" fontId="30" fillId="0" borderId="56" xfId="110" applyNumberFormat="1" applyFont="1" applyFill="1" applyBorder="1" applyAlignment="1">
      <alignment horizontal="center"/>
    </xf>
    <xf numFmtId="171" fontId="30" fillId="0" borderId="59" xfId="110" applyNumberFormat="1" applyFont="1" applyFill="1" applyBorder="1" applyAlignment="1">
      <alignment horizontal="center"/>
    </xf>
    <xf numFmtId="168" fontId="30" fillId="0" borderId="59" xfId="110" applyNumberFormat="1" applyFont="1" applyFill="1" applyBorder="1" applyAlignment="1">
      <alignment horizontal="center"/>
    </xf>
    <xf numFmtId="171" fontId="30" fillId="0" borderId="0" xfId="110" applyNumberFormat="1" applyFont="1" applyFill="1" applyBorder="1" applyAlignment="1">
      <alignment horizontal="center" vertical="center" wrapText="1"/>
    </xf>
    <xf numFmtId="171" fontId="30" fillId="0" borderId="20" xfId="110" applyNumberFormat="1" applyFont="1" applyFill="1" applyBorder="1" applyAlignment="1">
      <alignment horizontal="center"/>
    </xf>
    <xf numFmtId="171" fontId="30" fillId="0" borderId="20" xfId="110" applyNumberFormat="1" applyFont="1" applyFill="1" applyBorder="1" applyAlignment="1">
      <alignment horizontal="center" vertical="center" wrapText="1"/>
    </xf>
    <xf numFmtId="171" fontId="30" fillId="0" borderId="27" xfId="110" applyNumberFormat="1" applyFont="1" applyFill="1" applyBorder="1" applyAlignment="1">
      <alignment horizontal="center"/>
    </xf>
    <xf numFmtId="171" fontId="30" fillId="0" borderId="60" xfId="110" applyNumberFormat="1" applyFont="1" applyFill="1" applyBorder="1" applyAlignment="1">
      <alignment horizontal="center"/>
    </xf>
    <xf numFmtId="168" fontId="30" fillId="0" borderId="60" xfId="110" applyNumberFormat="1" applyFont="1" applyFill="1" applyBorder="1" applyAlignment="1">
      <alignment horizontal="center"/>
    </xf>
    <xf numFmtId="171" fontId="30" fillId="0" borderId="23" xfId="110" applyNumberFormat="1" applyFont="1" applyFill="1" applyBorder="1" applyAlignment="1">
      <alignment horizontal="center"/>
    </xf>
    <xf numFmtId="171" fontId="30" fillId="0" borderId="26" xfId="110" applyNumberFormat="1" applyFont="1" applyFill="1" applyBorder="1" applyAlignment="1">
      <alignment horizontal="center"/>
    </xf>
    <xf numFmtId="171" fontId="28" fillId="0" borderId="11" xfId="110" quotePrefix="1" applyNumberFormat="1" applyFont="1" applyFill="1" applyBorder="1"/>
    <xf numFmtId="17" fontId="31" fillId="0" borderId="14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right" vertical="center"/>
    </xf>
    <xf numFmtId="169" fontId="14" fillId="0" borderId="20" xfId="0" applyNumberFormat="1" applyFont="1" applyFill="1" applyBorder="1" applyAlignment="1">
      <alignment horizontal="center" vertical="center"/>
    </xf>
    <xf numFmtId="172" fontId="12" fillId="0" borderId="19" xfId="0" applyNumberFormat="1" applyFont="1" applyFill="1" applyBorder="1"/>
    <xf numFmtId="4" fontId="31" fillId="0" borderId="19" xfId="0" applyNumberFormat="1" applyFont="1" applyFill="1" applyBorder="1" applyAlignment="1">
      <alignment horizontal="center" vertical="center"/>
    </xf>
    <xf numFmtId="171" fontId="28" fillId="0" borderId="19" xfId="83" applyNumberFormat="1" applyFont="1" applyFill="1" applyBorder="1" applyAlignment="1">
      <alignment horizontal="right"/>
    </xf>
    <xf numFmtId="171" fontId="28" fillId="0" borderId="19" xfId="83" applyNumberFormat="1" applyFont="1" applyFill="1" applyBorder="1"/>
    <xf numFmtId="171" fontId="29" fillId="0" borderId="59" xfId="83" applyNumberFormat="1" applyFont="1" applyFill="1" applyBorder="1"/>
    <xf numFmtId="171" fontId="28" fillId="0" borderId="17" xfId="110" quotePrefix="1" applyNumberFormat="1" applyFont="1" applyFill="1" applyBorder="1"/>
    <xf numFmtId="17" fontId="31" fillId="0" borderId="20" xfId="0" applyNumberFormat="1" applyFont="1" applyFill="1" applyBorder="1" applyAlignment="1">
      <alignment horizontal="center" vertical="center"/>
    </xf>
    <xf numFmtId="17" fontId="31" fillId="0" borderId="19" xfId="0" applyNumberFormat="1" applyFont="1" applyFill="1" applyBorder="1" applyAlignment="1">
      <alignment horizontal="center" vertical="center"/>
    </xf>
    <xf numFmtId="171" fontId="28" fillId="0" borderId="96" xfId="110" applyNumberFormat="1" applyFont="1" applyFill="1" applyBorder="1" applyAlignment="1"/>
    <xf numFmtId="171" fontId="28" fillId="0" borderId="47" xfId="110" applyNumberFormat="1" applyFont="1" applyFill="1" applyBorder="1" applyAlignment="1"/>
    <xf numFmtId="168" fontId="28" fillId="0" borderId="47" xfId="83" applyNumberFormat="1" applyFont="1" applyFill="1" applyBorder="1" applyAlignment="1"/>
    <xf numFmtId="171" fontId="28" fillId="0" borderId="47" xfId="83" applyNumberFormat="1" applyFont="1" applyFill="1" applyBorder="1" applyAlignment="1"/>
    <xf numFmtId="171" fontId="29" fillId="0" borderId="48" xfId="83" applyNumberFormat="1" applyFont="1" applyFill="1" applyBorder="1" applyAlignment="1"/>
    <xf numFmtId="171" fontId="29" fillId="0" borderId="98" xfId="83" applyNumberFormat="1" applyFont="1" applyFill="1" applyBorder="1" applyAlignment="1">
      <alignment horizontal="right"/>
    </xf>
    <xf numFmtId="171" fontId="28" fillId="0" borderId="0" xfId="110" applyNumberFormat="1" applyFont="1" applyFill="1" applyBorder="1" applyAlignment="1"/>
    <xf numFmtId="168" fontId="28" fillId="0" borderId="0" xfId="83" applyNumberFormat="1" applyFont="1" applyFill="1" applyBorder="1" applyAlignment="1"/>
    <xf numFmtId="171" fontId="28" fillId="0" borderId="0" xfId="83" applyNumberFormat="1" applyFont="1" applyFill="1" applyBorder="1" applyAlignment="1"/>
    <xf numFmtId="171" fontId="29" fillId="0" borderId="0" xfId="83" applyNumberFormat="1" applyFont="1" applyFill="1" applyBorder="1" applyAlignment="1"/>
    <xf numFmtId="171" fontId="29" fillId="0" borderId="0" xfId="83" applyNumberFormat="1" applyFont="1" applyFill="1" applyBorder="1" applyAlignment="1">
      <alignment horizontal="right"/>
    </xf>
    <xf numFmtId="177" fontId="5" fillId="0" borderId="0" xfId="82" applyNumberFormat="1" applyFont="1" applyFill="1"/>
    <xf numFmtId="165" fontId="38" fillId="0" borderId="0" xfId="87" applyFont="1" applyFill="1" applyBorder="1"/>
    <xf numFmtId="169" fontId="14" fillId="0" borderId="43" xfId="0" applyNumberFormat="1" applyFont="1" applyFill="1" applyBorder="1" applyAlignment="1">
      <alignment horizontal="center" vertical="center"/>
    </xf>
    <xf numFmtId="171" fontId="28" fillId="0" borderId="59" xfId="83" applyNumberFormat="1" applyFont="1" applyFill="1" applyBorder="1"/>
    <xf numFmtId="17" fontId="28" fillId="0" borderId="20" xfId="0" applyNumberFormat="1" applyFont="1" applyFill="1" applyBorder="1" applyAlignment="1">
      <alignment horizontal="center" vertical="center"/>
    </xf>
    <xf numFmtId="169" fontId="46" fillId="20" borderId="59" xfId="0" applyNumberFormat="1" applyFont="1" applyFill="1" applyBorder="1" applyAlignment="1">
      <alignment horizontal="center"/>
    </xf>
    <xf numFmtId="4" fontId="28" fillId="0" borderId="31" xfId="0" applyNumberFormat="1" applyFont="1" applyBorder="1"/>
    <xf numFmtId="0" fontId="15" fillId="20" borderId="0" xfId="0" applyFont="1" applyFill="1" applyAlignment="1">
      <alignment horizontal="center"/>
    </xf>
    <xf numFmtId="168" fontId="41" fillId="20" borderId="25" xfId="0" applyNumberFormat="1" applyFont="1" applyFill="1" applyBorder="1"/>
    <xf numFmtId="0" fontId="39" fillId="20" borderId="22" xfId="0" applyFont="1" applyFill="1" applyBorder="1" applyAlignment="1">
      <alignment horizontal="center"/>
    </xf>
    <xf numFmtId="0" fontId="41" fillId="20" borderId="11" xfId="0" applyFont="1" applyFill="1" applyBorder="1"/>
    <xf numFmtId="0" fontId="41" fillId="20" borderId="57" xfId="0" applyFont="1" applyFill="1" applyBorder="1"/>
    <xf numFmtId="168" fontId="41" fillId="0" borderId="17" xfId="0" applyNumberFormat="1" applyFont="1" applyFill="1" applyBorder="1"/>
    <xf numFmtId="2" fontId="41" fillId="20" borderId="59" xfId="0" applyNumberFormat="1" applyFont="1" applyFill="1" applyBorder="1"/>
    <xf numFmtId="168" fontId="41" fillId="0" borderId="99" xfId="0" applyNumberFormat="1" applyFont="1" applyFill="1" applyBorder="1"/>
    <xf numFmtId="168" fontId="41" fillId="0" borderId="30" xfId="0" applyNumberFormat="1" applyFont="1" applyFill="1" applyBorder="1"/>
    <xf numFmtId="0" fontId="41" fillId="20" borderId="54" xfId="0" applyFont="1" applyFill="1" applyBorder="1" applyAlignment="1">
      <alignment horizontal="center"/>
    </xf>
    <xf numFmtId="0" fontId="41" fillId="20" borderId="31" xfId="0" applyFont="1" applyFill="1" applyBorder="1" applyAlignment="1">
      <alignment horizontal="center"/>
    </xf>
    <xf numFmtId="168" fontId="41" fillId="0" borderId="32" xfId="0" applyNumberFormat="1" applyFont="1" applyFill="1" applyBorder="1"/>
    <xf numFmtId="0" fontId="41" fillId="20" borderId="38" xfId="0" applyFont="1" applyFill="1" applyBorder="1" applyAlignment="1">
      <alignment horizontal="right"/>
    </xf>
    <xf numFmtId="0" fontId="41" fillId="20" borderId="59" xfId="0" applyFont="1" applyFill="1" applyBorder="1"/>
    <xf numFmtId="168" fontId="41" fillId="0" borderId="53" xfId="0" applyNumberFormat="1" applyFont="1" applyFill="1" applyBorder="1"/>
    <xf numFmtId="0" fontId="41" fillId="20" borderId="55" xfId="0" applyFont="1" applyFill="1" applyBorder="1"/>
    <xf numFmtId="168" fontId="41" fillId="20" borderId="99" xfId="0" applyNumberFormat="1" applyFont="1" applyFill="1" applyBorder="1"/>
    <xf numFmtId="168" fontId="39" fillId="20" borderId="45" xfId="0" applyNumberFormat="1" applyFont="1" applyFill="1" applyBorder="1"/>
    <xf numFmtId="168" fontId="41" fillId="20" borderId="28" xfId="0" applyNumberFormat="1" applyFont="1" applyFill="1" applyBorder="1"/>
    <xf numFmtId="0" fontId="29" fillId="20" borderId="0" xfId="0" applyFont="1" applyFill="1" applyBorder="1" applyAlignment="1">
      <alignment horizontal="center"/>
    </xf>
    <xf numFmtId="0" fontId="28" fillId="20" borderId="0" xfId="0" applyFont="1" applyFill="1" applyBorder="1" applyAlignment="1">
      <alignment horizontal="center"/>
    </xf>
    <xf numFmtId="1" fontId="46" fillId="20" borderId="0" xfId="0" applyNumberFormat="1" applyFont="1" applyFill="1" applyBorder="1"/>
    <xf numFmtId="17" fontId="28" fillId="0" borderId="0" xfId="0" applyNumberFormat="1" applyFont="1" applyFill="1" applyBorder="1" applyAlignment="1">
      <alignment horizontal="center" vertical="center"/>
    </xf>
    <xf numFmtId="4" fontId="46" fillId="20" borderId="0" xfId="0" applyNumberFormat="1" applyFont="1" applyFill="1" applyBorder="1"/>
    <xf numFmtId="4" fontId="28" fillId="0" borderId="0" xfId="0" applyNumberFormat="1" applyFont="1" applyBorder="1"/>
    <xf numFmtId="1" fontId="48" fillId="20" borderId="0" xfId="0" applyNumberFormat="1" applyFont="1" applyFill="1" applyBorder="1"/>
    <xf numFmtId="15" fontId="49" fillId="20" borderId="0" xfId="0" quotePrefix="1" applyNumberFormat="1" applyFont="1" applyFill="1" applyBorder="1" applyAlignment="1">
      <alignment horizontal="right"/>
    </xf>
    <xf numFmtId="4" fontId="35" fillId="0" borderId="0" xfId="0" applyNumberFormat="1" applyFont="1" applyBorder="1"/>
    <xf numFmtId="0" fontId="15" fillId="20" borderId="0" xfId="0" applyFont="1" applyFill="1" applyBorder="1" applyAlignment="1">
      <alignment horizontal="center"/>
    </xf>
    <xf numFmtId="0" fontId="29" fillId="20" borderId="16" xfId="0" applyFont="1" applyFill="1" applyBorder="1"/>
    <xf numFmtId="1" fontId="46" fillId="20" borderId="16" xfId="0" applyNumberFormat="1" applyFont="1" applyFill="1" applyBorder="1" applyAlignment="1">
      <alignment horizontal="center"/>
    </xf>
    <xf numFmtId="1" fontId="46" fillId="20" borderId="56" xfId="0" applyNumberFormat="1" applyFont="1" applyFill="1" applyBorder="1" applyAlignment="1">
      <alignment horizontal="center"/>
    </xf>
    <xf numFmtId="1" fontId="48" fillId="20" borderId="27" xfId="0" applyNumberFormat="1" applyFont="1" applyFill="1" applyBorder="1"/>
    <xf numFmtId="0" fontId="29" fillId="20" borderId="0" xfId="0" applyFont="1" applyFill="1" applyBorder="1" applyAlignment="1"/>
    <xf numFmtId="0" fontId="34" fillId="20" borderId="0" xfId="0" applyFont="1" applyFill="1" applyBorder="1" applyAlignment="1">
      <alignment horizontal="center"/>
    </xf>
    <xf numFmtId="0" fontId="34" fillId="20" borderId="0" xfId="0" quotePrefix="1" applyFont="1" applyFill="1" applyBorder="1" applyAlignment="1">
      <alignment horizontal="center"/>
    </xf>
    <xf numFmtId="4" fontId="47" fillId="20" borderId="0" xfId="0" applyNumberFormat="1" applyFont="1" applyFill="1" applyBorder="1" applyAlignment="1">
      <alignment horizontal="center"/>
    </xf>
    <xf numFmtId="4" fontId="49" fillId="20" borderId="0" xfId="0" applyNumberFormat="1" applyFont="1" applyFill="1" applyBorder="1" applyAlignment="1">
      <alignment horizontal="center"/>
    </xf>
    <xf numFmtId="4" fontId="48" fillId="20" borderId="0" xfId="0" applyNumberFormat="1" applyFont="1" applyFill="1" applyBorder="1"/>
    <xf numFmtId="0" fontId="29" fillId="20" borderId="27" xfId="0" applyFont="1" applyFill="1" applyBorder="1"/>
    <xf numFmtId="4" fontId="46" fillId="20" borderId="57" xfId="0" applyNumberFormat="1" applyFont="1" applyFill="1" applyBorder="1"/>
    <xf numFmtId="4" fontId="49" fillId="20" borderId="27" xfId="0" applyNumberFormat="1" applyFont="1" applyFill="1" applyBorder="1" applyAlignment="1">
      <alignment horizontal="center"/>
    </xf>
    <xf numFmtId="0" fontId="15" fillId="20" borderId="0" xfId="0" applyFont="1" applyFill="1" applyAlignment="1"/>
    <xf numFmtId="15" fontId="49" fillId="20" borderId="49" xfId="0" quotePrefix="1" applyNumberFormat="1" applyFont="1" applyFill="1" applyBorder="1" applyAlignment="1">
      <alignment horizontal="right"/>
    </xf>
    <xf numFmtId="4" fontId="49" fillId="20" borderId="50" xfId="0" applyNumberFormat="1" applyFont="1" applyFill="1" applyBorder="1"/>
    <xf numFmtId="4" fontId="47" fillId="20" borderId="96" xfId="0" applyNumberFormat="1" applyFont="1" applyFill="1" applyBorder="1"/>
    <xf numFmtId="0" fontId="45" fillId="0" borderId="0" xfId="0" quotePrefix="1" applyFont="1" applyFill="1" applyBorder="1" applyAlignment="1">
      <alignment horizontal="left"/>
    </xf>
    <xf numFmtId="0" fontId="39" fillId="20" borderId="0" xfId="0" applyFont="1" applyFill="1" applyAlignment="1">
      <alignment horizontal="left" vertical="center"/>
    </xf>
    <xf numFmtId="0" fontId="92" fillId="20" borderId="0" xfId="0" applyFont="1" applyFill="1" applyAlignment="1">
      <alignment horizontal="left" vertical="center"/>
    </xf>
    <xf numFmtId="4" fontId="48" fillId="20" borderId="44" xfId="0" applyNumberFormat="1" applyFont="1" applyFill="1" applyBorder="1"/>
    <xf numFmtId="0" fontId="29" fillId="20" borderId="31" xfId="0" quotePrefix="1" applyFont="1" applyFill="1" applyBorder="1" applyAlignment="1">
      <alignment horizontal="center"/>
    </xf>
    <xf numFmtId="0" fontId="34" fillId="20" borderId="28" xfId="0" quotePrefix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6" fillId="20" borderId="0" xfId="0" applyFont="1" applyFill="1" applyAlignment="1">
      <alignment horizontal="center"/>
    </xf>
    <xf numFmtId="0" fontId="5" fillId="0" borderId="23" xfId="0" applyFont="1" applyBorder="1" applyAlignment="1">
      <alignment horizontal="center"/>
    </xf>
    <xf numFmtId="4" fontId="29" fillId="0" borderId="23" xfId="0" applyNumberFormat="1" applyFont="1" applyBorder="1"/>
    <xf numFmtId="0" fontId="86" fillId="20" borderId="23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" fontId="29" fillId="0" borderId="97" xfId="0" applyNumberFormat="1" applyFont="1" applyBorder="1"/>
    <xf numFmtId="4" fontId="47" fillId="20" borderId="16" xfId="0" applyNumberFormat="1" applyFont="1" applyFill="1" applyBorder="1" applyAlignment="1">
      <alignment horizontal="right"/>
    </xf>
    <xf numFmtId="4" fontId="47" fillId="20" borderId="56" xfId="0" applyNumberFormat="1" applyFont="1" applyFill="1" applyBorder="1" applyAlignment="1">
      <alignment horizontal="right"/>
    </xf>
    <xf numFmtId="4" fontId="46" fillId="20" borderId="0" xfId="0" applyNumberFormat="1" applyFont="1" applyFill="1" applyBorder="1" applyAlignment="1">
      <alignment horizontal="right"/>
    </xf>
    <xf numFmtId="4" fontId="28" fillId="0" borderId="0" xfId="0" applyNumberFormat="1" applyFont="1"/>
    <xf numFmtId="165" fontId="36" fillId="0" borderId="49" xfId="82" applyFont="1" applyFill="1" applyBorder="1"/>
    <xf numFmtId="165" fontId="50" fillId="0" borderId="16" xfId="82" applyFont="1" applyFill="1" applyBorder="1"/>
    <xf numFmtId="165" fontId="50" fillId="0" borderId="56" xfId="82" applyFont="1" applyFill="1" applyBorder="1"/>
    <xf numFmtId="0" fontId="11" fillId="0" borderId="44" xfId="0" applyFont="1" applyBorder="1" applyAlignment="1">
      <alignment horizontal="center"/>
    </xf>
    <xf numFmtId="4" fontId="91" fillId="20" borderId="50" xfId="0" applyNumberFormat="1" applyFont="1" applyFill="1" applyBorder="1"/>
    <xf numFmtId="0" fontId="1" fillId="0" borderId="0" xfId="0" applyFont="1" applyAlignment="1">
      <alignment horizontal="left"/>
    </xf>
    <xf numFmtId="4" fontId="36" fillId="0" borderId="23" xfId="0" applyNumberFormat="1" applyFont="1" applyBorder="1"/>
    <xf numFmtId="0" fontId="11" fillId="26" borderId="94" xfId="0" applyFont="1" applyFill="1" applyBorder="1" applyAlignment="1">
      <alignment horizontal="center"/>
    </xf>
    <xf numFmtId="4" fontId="36" fillId="26" borderId="95" xfId="0" applyNumberFormat="1" applyFont="1" applyFill="1" applyBorder="1"/>
    <xf numFmtId="0" fontId="39" fillId="20" borderId="60" xfId="0" applyFont="1" applyFill="1" applyBorder="1" applyAlignment="1">
      <alignment horizontal="center"/>
    </xf>
    <xf numFmtId="168" fontId="41" fillId="20" borderId="100" xfId="0" applyNumberFormat="1" applyFont="1" applyFill="1" applyBorder="1"/>
    <xf numFmtId="168" fontId="41" fillId="20" borderId="59" xfId="0" applyNumberFormat="1" applyFont="1" applyFill="1" applyBorder="1"/>
    <xf numFmtId="2" fontId="41" fillId="20" borderId="100" xfId="0" applyNumberFormat="1" applyFont="1" applyFill="1" applyBorder="1"/>
    <xf numFmtId="168" fontId="39" fillId="20" borderId="97" xfId="0" applyNumberFormat="1" applyFont="1" applyFill="1" applyBorder="1"/>
    <xf numFmtId="0" fontId="39" fillId="20" borderId="0" xfId="106" applyFont="1" applyFill="1" applyBorder="1"/>
    <xf numFmtId="0" fontId="42" fillId="20" borderId="0" xfId="106" applyFont="1" applyFill="1" applyBorder="1" applyAlignment="1">
      <alignment horizontal="left"/>
    </xf>
    <xf numFmtId="0" fontId="41" fillId="20" borderId="0" xfId="106" applyFont="1" applyFill="1" applyBorder="1"/>
    <xf numFmtId="0" fontId="42" fillId="21" borderId="0" xfId="106" applyFont="1" applyFill="1" applyBorder="1"/>
    <xf numFmtId="0" fontId="42" fillId="21" borderId="0" xfId="106" applyFont="1" applyFill="1"/>
    <xf numFmtId="4" fontId="9" fillId="0" borderId="66" xfId="107" applyNumberFormat="1" applyFont="1" applyFill="1" applyBorder="1" applyAlignment="1">
      <alignment horizontal="center" vertical="center"/>
    </xf>
    <xf numFmtId="4" fontId="9" fillId="0" borderId="101" xfId="87" applyNumberFormat="1" applyFont="1" applyFill="1" applyBorder="1" applyAlignment="1">
      <alignment horizontal="left" vertical="center" wrapText="1"/>
    </xf>
    <xf numFmtId="0" fontId="52" fillId="20" borderId="67" xfId="106" applyFont="1" applyFill="1" applyBorder="1" applyAlignment="1">
      <alignment horizontal="center" vertical="center" wrapText="1"/>
    </xf>
    <xf numFmtId="4" fontId="52" fillId="20" borderId="70" xfId="106" applyNumberFormat="1" applyFont="1" applyFill="1" applyBorder="1" applyAlignment="1">
      <alignment horizontal="right" vertical="center" wrapText="1"/>
    </xf>
    <xf numFmtId="4" fontId="52" fillId="0" borderId="74" xfId="107" applyNumberFormat="1" applyFont="1" applyFill="1" applyBorder="1" applyAlignment="1">
      <alignment horizontal="center" vertical="center"/>
    </xf>
    <xf numFmtId="4" fontId="52" fillId="0" borderId="101" xfId="87" applyNumberFormat="1" applyFont="1" applyFill="1" applyBorder="1" applyAlignment="1">
      <alignment horizontal="left" vertical="center" wrapText="1"/>
    </xf>
    <xf numFmtId="0" fontId="52" fillId="20" borderId="67" xfId="106" applyFont="1" applyFill="1" applyBorder="1" applyAlignment="1">
      <alignment vertical="center" wrapText="1"/>
    </xf>
    <xf numFmtId="4" fontId="52" fillId="20" borderId="70" xfId="106" applyNumberFormat="1" applyFont="1" applyFill="1" applyBorder="1" applyAlignment="1">
      <alignment vertical="center" wrapText="1"/>
    </xf>
    <xf numFmtId="4" fontId="52" fillId="20" borderId="70" xfId="87" applyNumberFormat="1" applyFont="1" applyFill="1" applyBorder="1" applyAlignment="1">
      <alignment horizontal="right" vertical="center" wrapText="1"/>
    </xf>
    <xf numFmtId="165" fontId="52" fillId="0" borderId="74" xfId="107" applyNumberFormat="1" applyFont="1" applyFill="1" applyBorder="1" applyAlignment="1">
      <alignment horizontal="center" vertical="center"/>
    </xf>
    <xf numFmtId="165" fontId="52" fillId="0" borderId="101" xfId="107" applyNumberFormat="1" applyFont="1" applyFill="1" applyBorder="1" applyAlignment="1">
      <alignment horizontal="center" vertical="center"/>
    </xf>
    <xf numFmtId="165" fontId="52" fillId="0" borderId="74" xfId="107" applyNumberFormat="1" applyFont="1" applyFill="1" applyBorder="1"/>
    <xf numFmtId="165" fontId="52" fillId="0" borderId="101" xfId="107" applyNumberFormat="1" applyFont="1" applyFill="1" applyBorder="1"/>
    <xf numFmtId="0" fontId="52" fillId="20" borderId="69" xfId="106" applyFont="1" applyFill="1" applyBorder="1" applyAlignment="1">
      <alignment vertical="center" wrapText="1"/>
    </xf>
    <xf numFmtId="4" fontId="52" fillId="20" borderId="61" xfId="106" applyNumberFormat="1" applyFont="1" applyFill="1" applyBorder="1" applyAlignment="1">
      <alignment vertical="center" wrapText="1"/>
    </xf>
    <xf numFmtId="0" fontId="52" fillId="20" borderId="72" xfId="106" applyFont="1" applyFill="1" applyBorder="1" applyAlignment="1">
      <alignment horizontal="center" vertical="center" wrapText="1"/>
    </xf>
    <xf numFmtId="4" fontId="52" fillId="20" borderId="102" xfId="106" applyNumberFormat="1" applyFont="1" applyFill="1" applyBorder="1" applyAlignment="1">
      <alignment horizontal="right" vertical="center" wrapText="1"/>
    </xf>
    <xf numFmtId="165" fontId="52" fillId="0" borderId="78" xfId="107" applyNumberFormat="1" applyFont="1" applyFill="1" applyBorder="1"/>
    <xf numFmtId="165" fontId="52" fillId="0" borderId="78" xfId="107" applyNumberFormat="1" applyFont="1" applyFill="1" applyBorder="1" applyAlignment="1">
      <alignment horizontal="center" vertical="center"/>
    </xf>
    <xf numFmtId="165" fontId="52" fillId="0" borderId="78" xfId="87" applyFont="1" applyFill="1" applyBorder="1" applyAlignment="1">
      <alignment horizontal="center" vertical="center" wrapText="1"/>
    </xf>
    <xf numFmtId="165" fontId="52" fillId="0" borderId="103" xfId="107" applyNumberFormat="1" applyFont="1" applyFill="1" applyBorder="1"/>
    <xf numFmtId="0" fontId="52" fillId="20" borderId="104" xfId="106" applyFont="1" applyFill="1" applyBorder="1" applyAlignment="1">
      <alignment horizontal="center" vertical="center" wrapText="1"/>
    </xf>
    <xf numFmtId="4" fontId="52" fillId="20" borderId="105" xfId="106" applyNumberFormat="1" applyFont="1" applyFill="1" applyBorder="1" applyAlignment="1">
      <alignment horizontal="right" vertical="center" wrapText="1"/>
    </xf>
    <xf numFmtId="4" fontId="52" fillId="20" borderId="65" xfId="106" applyNumberFormat="1" applyFont="1" applyFill="1" applyBorder="1" applyAlignment="1">
      <alignment horizontal="right" vertical="center" wrapText="1"/>
    </xf>
    <xf numFmtId="165" fontId="52" fillId="0" borderId="106" xfId="107" applyNumberFormat="1" applyFont="1" applyFill="1" applyBorder="1"/>
    <xf numFmtId="0" fontId="52" fillId="20" borderId="107" xfId="106" applyFont="1" applyFill="1" applyBorder="1" applyAlignment="1">
      <alignment horizontal="center" vertical="center" wrapText="1"/>
    </xf>
    <xf numFmtId="4" fontId="52" fillId="20" borderId="108" xfId="106" applyNumberFormat="1" applyFont="1" applyFill="1" applyBorder="1" applyAlignment="1">
      <alignment horizontal="right" vertical="center" wrapText="1"/>
    </xf>
    <xf numFmtId="165" fontId="52" fillId="20" borderId="70" xfId="82" applyFont="1" applyFill="1" applyBorder="1" applyAlignment="1">
      <alignment horizontal="right" vertical="center" wrapText="1"/>
    </xf>
    <xf numFmtId="0" fontId="52" fillId="20" borderId="109" xfId="106" applyFont="1" applyFill="1" applyBorder="1" applyAlignment="1">
      <alignment horizontal="center" vertical="center" wrapText="1"/>
    </xf>
    <xf numFmtId="4" fontId="52" fillId="20" borderId="110" xfId="106" applyNumberFormat="1" applyFont="1" applyFill="1" applyBorder="1" applyAlignment="1">
      <alignment horizontal="right" vertical="center" wrapText="1"/>
    </xf>
    <xf numFmtId="165" fontId="52" fillId="0" borderId="111" xfId="107" applyNumberFormat="1" applyFont="1" applyFill="1" applyBorder="1"/>
    <xf numFmtId="165" fontId="52" fillId="0" borderId="88" xfId="107" applyNumberFormat="1" applyFont="1" applyFill="1" applyBorder="1"/>
    <xf numFmtId="165" fontId="52" fillId="0" borderId="88" xfId="107" applyNumberFormat="1" applyFont="1" applyFill="1" applyBorder="1" applyAlignment="1">
      <alignment horizontal="center" vertical="center"/>
    </xf>
    <xf numFmtId="4" fontId="52" fillId="20" borderId="112" xfId="106" applyNumberFormat="1" applyFont="1" applyFill="1" applyBorder="1" applyAlignment="1">
      <alignment horizontal="right" vertical="center" wrapText="1"/>
    </xf>
    <xf numFmtId="165" fontId="52" fillId="0" borderId="113" xfId="107" applyNumberFormat="1" applyFont="1" applyFill="1" applyBorder="1"/>
    <xf numFmtId="165" fontId="52" fillId="0" borderId="113" xfId="107" applyNumberFormat="1" applyFont="1" applyFill="1" applyBorder="1" applyAlignment="1">
      <alignment horizontal="center" vertical="center"/>
    </xf>
    <xf numFmtId="165" fontId="52" fillId="0" borderId="66" xfId="107" applyNumberFormat="1" applyFont="1" applyFill="1" applyBorder="1"/>
    <xf numFmtId="165" fontId="52" fillId="0" borderId="114" xfId="107" applyNumberFormat="1" applyFont="1" applyFill="1" applyBorder="1"/>
    <xf numFmtId="0" fontId="52" fillId="20" borderId="115" xfId="106" applyFont="1" applyFill="1" applyBorder="1" applyAlignment="1">
      <alignment horizontal="center" vertical="center" wrapText="1"/>
    </xf>
    <xf numFmtId="4" fontId="52" fillId="20" borderId="116" xfId="106" applyNumberFormat="1" applyFont="1" applyFill="1" applyBorder="1" applyAlignment="1">
      <alignment horizontal="right" vertical="center" wrapText="1"/>
    </xf>
    <xf numFmtId="3" fontId="52" fillId="20" borderId="117" xfId="106" applyNumberFormat="1" applyFont="1" applyFill="1" applyBorder="1" applyAlignment="1">
      <alignment horizontal="right" vertical="center" wrapText="1"/>
    </xf>
    <xf numFmtId="165" fontId="52" fillId="0" borderId="118" xfId="107" applyNumberFormat="1" applyFont="1" applyFill="1" applyBorder="1"/>
    <xf numFmtId="4" fontId="1" fillId="0" borderId="0" xfId="0" applyNumberFormat="1" applyFont="1" applyBorder="1"/>
    <xf numFmtId="4" fontId="46" fillId="20" borderId="57" xfId="0" applyNumberFormat="1" applyFont="1" applyFill="1" applyBorder="1" applyAlignment="1">
      <alignment horizontal="right"/>
    </xf>
    <xf numFmtId="4" fontId="46" fillId="20" borderId="59" xfId="0" applyNumberFormat="1" applyFont="1" applyFill="1" applyBorder="1" applyAlignment="1">
      <alignment horizontal="right"/>
    </xf>
    <xf numFmtId="165" fontId="1" fillId="20" borderId="0" xfId="82" applyFont="1" applyFill="1"/>
    <xf numFmtId="165" fontId="9" fillId="0" borderId="29" xfId="87" applyFont="1" applyFill="1" applyBorder="1" applyAlignment="1">
      <alignment horizontal="left" vertical="center" wrapText="1"/>
    </xf>
    <xf numFmtId="165" fontId="9" fillId="0" borderId="58" xfId="87" applyFont="1" applyFill="1" applyBorder="1" applyAlignment="1">
      <alignment horizontal="left" vertical="center" wrapText="1"/>
    </xf>
    <xf numFmtId="4" fontId="9" fillId="0" borderId="119" xfId="87" applyNumberFormat="1" applyFont="1" applyFill="1" applyBorder="1" applyAlignment="1">
      <alignment horizontal="left" vertical="center" wrapText="1"/>
    </xf>
    <xf numFmtId="165" fontId="9" fillId="0" borderId="30" xfId="87" applyFont="1" applyFill="1" applyBorder="1" applyAlignment="1">
      <alignment horizontal="left" vertical="center" wrapText="1"/>
    </xf>
    <xf numFmtId="165" fontId="9" fillId="0" borderId="31" xfId="87" applyFont="1" applyFill="1" applyBorder="1" applyAlignment="1">
      <alignment horizontal="left" vertical="center" wrapText="1"/>
    </xf>
    <xf numFmtId="4" fontId="9" fillId="0" borderId="106" xfId="87" applyNumberFormat="1" applyFont="1" applyFill="1" applyBorder="1" applyAlignment="1">
      <alignment horizontal="left" vertical="center" wrapText="1"/>
    </xf>
    <xf numFmtId="165" fontId="9" fillId="0" borderId="107" xfId="87" applyFont="1" applyFill="1" applyBorder="1" applyAlignment="1">
      <alignment horizontal="left" vertical="center" wrapText="1"/>
    </xf>
    <xf numFmtId="165" fontId="9" fillId="0" borderId="86" xfId="87" applyFont="1" applyFill="1" applyBorder="1" applyAlignment="1">
      <alignment horizontal="left" vertical="center" wrapText="1"/>
    </xf>
    <xf numFmtId="165" fontId="52" fillId="0" borderId="68" xfId="82" applyFont="1" applyFill="1" applyBorder="1" applyAlignment="1">
      <alignment horizontal="left" vertical="center" wrapText="1"/>
    </xf>
    <xf numFmtId="165" fontId="52" fillId="0" borderId="107" xfId="82" applyFont="1" applyFill="1" applyBorder="1" applyAlignment="1">
      <alignment horizontal="left" vertical="center" wrapText="1"/>
    </xf>
    <xf numFmtId="4" fontId="52" fillId="0" borderId="106" xfId="87" applyNumberFormat="1" applyFont="1" applyFill="1" applyBorder="1" applyAlignment="1">
      <alignment horizontal="left" vertical="center" wrapText="1"/>
    </xf>
    <xf numFmtId="165" fontId="52" fillId="0" borderId="106" xfId="107" applyNumberFormat="1" applyFont="1" applyFill="1" applyBorder="1" applyAlignment="1">
      <alignment horizontal="center" vertical="center"/>
    </xf>
    <xf numFmtId="0" fontId="52" fillId="0" borderId="106" xfId="106" applyFont="1" applyFill="1" applyBorder="1"/>
    <xf numFmtId="165" fontId="64" fillId="0" borderId="73" xfId="87" applyFont="1" applyFill="1" applyBorder="1" applyAlignment="1">
      <alignment horizontal="left" vertical="center" wrapText="1"/>
    </xf>
    <xf numFmtId="165" fontId="64" fillId="0" borderId="115" xfId="87" applyFont="1" applyFill="1" applyBorder="1" applyAlignment="1">
      <alignment horizontal="left" vertical="center" wrapText="1"/>
    </xf>
    <xf numFmtId="165" fontId="64" fillId="0" borderId="77" xfId="87" applyFont="1" applyFill="1" applyBorder="1" applyAlignment="1">
      <alignment horizontal="left" vertical="center" wrapText="1"/>
    </xf>
    <xf numFmtId="165" fontId="52" fillId="0" borderId="120" xfId="107" applyNumberFormat="1" applyFont="1" applyFill="1" applyBorder="1"/>
    <xf numFmtId="165" fontId="58" fillId="21" borderId="58" xfId="82" applyFont="1" applyFill="1" applyBorder="1" applyAlignment="1">
      <alignment vertical="center"/>
    </xf>
    <xf numFmtId="165" fontId="58" fillId="21" borderId="31" xfId="82" applyFont="1" applyFill="1" applyBorder="1" applyAlignment="1">
      <alignment vertical="center"/>
    </xf>
    <xf numFmtId="165" fontId="58" fillId="21" borderId="28" xfId="82" applyFont="1" applyFill="1" applyBorder="1" applyAlignment="1">
      <alignment vertical="center"/>
    </xf>
    <xf numFmtId="10" fontId="58" fillId="21" borderId="23" xfId="112" applyNumberFormat="1" applyFont="1" applyFill="1" applyBorder="1" applyAlignment="1">
      <alignment vertical="center"/>
    </xf>
    <xf numFmtId="165" fontId="52" fillId="0" borderId="105" xfId="87" applyFont="1" applyFill="1" applyBorder="1" applyAlignment="1">
      <alignment horizontal="left" vertical="center" wrapText="1"/>
    </xf>
    <xf numFmtId="165" fontId="52" fillId="0" borderId="121" xfId="87" applyFont="1" applyFill="1" applyBorder="1" applyAlignment="1">
      <alignment horizontal="left" vertical="center" wrapText="1"/>
    </xf>
    <xf numFmtId="165" fontId="52" fillId="0" borderId="84" xfId="87" applyFont="1" applyFill="1" applyBorder="1" applyAlignment="1">
      <alignment horizontal="left" vertical="center" wrapText="1"/>
    </xf>
    <xf numFmtId="165" fontId="52" fillId="0" borderId="108" xfId="87" applyFont="1" applyFill="1" applyBorder="1" applyAlignment="1">
      <alignment horizontal="left" vertical="center" wrapText="1"/>
    </xf>
    <xf numFmtId="165" fontId="52" fillId="0" borderId="107" xfId="107" applyNumberFormat="1" applyFont="1" applyFill="1" applyBorder="1"/>
    <xf numFmtId="165" fontId="52" fillId="0" borderId="86" xfId="87" applyFont="1" applyFill="1" applyBorder="1" applyAlignment="1">
      <alignment horizontal="left" vertical="center" wrapText="1"/>
    </xf>
    <xf numFmtId="165" fontId="64" fillId="0" borderId="110" xfId="87" applyFont="1" applyFill="1" applyBorder="1" applyAlignment="1">
      <alignment horizontal="left" vertical="center" wrapText="1"/>
    </xf>
    <xf numFmtId="165" fontId="64" fillId="0" borderId="109" xfId="87" applyFont="1" applyFill="1" applyBorder="1" applyAlignment="1">
      <alignment horizontal="left" vertical="center" wrapText="1"/>
    </xf>
    <xf numFmtId="4" fontId="58" fillId="0" borderId="23" xfId="106" applyNumberFormat="1" applyFont="1" applyFill="1" applyBorder="1" applyAlignment="1">
      <alignment vertical="top"/>
    </xf>
    <xf numFmtId="4" fontId="58" fillId="0" borderId="44" xfId="106" applyNumberFormat="1" applyFont="1" applyFill="1" applyBorder="1" applyAlignment="1">
      <alignment vertical="top"/>
    </xf>
    <xf numFmtId="4" fontId="58" fillId="0" borderId="28" xfId="106" applyNumberFormat="1" applyFont="1" applyFill="1" applyBorder="1" applyAlignment="1">
      <alignment vertical="top"/>
    </xf>
    <xf numFmtId="4" fontId="58" fillId="21" borderId="44" xfId="106" applyNumberFormat="1" applyFont="1" applyFill="1" applyBorder="1" applyAlignment="1">
      <alignment vertical="center"/>
    </xf>
    <xf numFmtId="4" fontId="58" fillId="21" borderId="28" xfId="106" applyNumberFormat="1" applyFont="1" applyFill="1" applyBorder="1" applyAlignment="1">
      <alignment vertical="center"/>
    </xf>
    <xf numFmtId="165" fontId="52" fillId="0" borderId="122" xfId="87" applyFont="1" applyFill="1" applyBorder="1" applyAlignment="1">
      <alignment horizontal="left" vertical="center" wrapText="1"/>
    </xf>
    <xf numFmtId="173" fontId="52" fillId="0" borderId="123" xfId="118" applyNumberFormat="1" applyFont="1" applyFill="1" applyBorder="1"/>
    <xf numFmtId="165" fontId="52" fillId="0" borderId="124" xfId="87" applyFont="1" applyFill="1" applyBorder="1" applyAlignment="1">
      <alignment horizontal="left" vertical="center" wrapText="1"/>
    </xf>
    <xf numFmtId="165" fontId="52" fillId="0" borderId="109" xfId="87" applyFont="1" applyFill="1" applyBorder="1" applyAlignment="1">
      <alignment horizontal="left" vertical="center" wrapText="1"/>
    </xf>
    <xf numFmtId="4" fontId="58" fillId="21" borderId="29" xfId="106" applyNumberFormat="1" applyFont="1" applyFill="1" applyBorder="1"/>
    <xf numFmtId="4" fontId="58" fillId="21" borderId="58" xfId="106" applyNumberFormat="1" applyFont="1" applyFill="1" applyBorder="1"/>
    <xf numFmtId="4" fontId="58" fillId="21" borderId="30" xfId="106" quotePrefix="1" applyNumberFormat="1" applyFont="1" applyFill="1" applyBorder="1" applyAlignment="1">
      <alignment horizontal="right" vertical="center"/>
    </xf>
    <xf numFmtId="4" fontId="58" fillId="21" borderId="31" xfId="106" quotePrefix="1" applyNumberFormat="1" applyFont="1" applyFill="1" applyBorder="1" applyAlignment="1">
      <alignment horizontal="right" vertical="center"/>
    </xf>
    <xf numFmtId="10" fontId="58" fillId="0" borderId="80" xfId="106" applyNumberFormat="1" applyFont="1" applyFill="1" applyBorder="1" applyAlignment="1">
      <alignment horizontal="center" vertical="center"/>
    </xf>
    <xf numFmtId="10" fontId="58" fillId="22" borderId="85" xfId="106" applyNumberFormat="1" applyFont="1" applyFill="1" applyBorder="1" applyAlignment="1">
      <alignment horizontal="center" vertical="center"/>
    </xf>
    <xf numFmtId="0" fontId="58" fillId="22" borderId="34" xfId="106" applyFont="1" applyFill="1" applyBorder="1" applyAlignment="1">
      <alignment vertical="center" wrapText="1"/>
    </xf>
    <xf numFmtId="10" fontId="58" fillId="22" borderId="34" xfId="106" applyNumberFormat="1" applyFont="1" applyFill="1" applyBorder="1" applyAlignment="1">
      <alignment horizontal="center" vertical="center" wrapText="1"/>
    </xf>
    <xf numFmtId="10" fontId="58" fillId="22" borderId="125" xfId="106" applyNumberFormat="1" applyFont="1" applyFill="1" applyBorder="1" applyAlignment="1">
      <alignment horizontal="center" vertical="center" wrapText="1"/>
    </xf>
    <xf numFmtId="10" fontId="83" fillId="22" borderId="82" xfId="106" applyNumberFormat="1" applyFont="1" applyFill="1" applyBorder="1" applyAlignment="1">
      <alignment vertical="center"/>
    </xf>
    <xf numFmtId="10" fontId="83" fillId="22" borderId="27" xfId="106" applyNumberFormat="1" applyFont="1" applyFill="1" applyBorder="1" applyAlignment="1">
      <alignment vertical="center"/>
    </xf>
    <xf numFmtId="10" fontId="58" fillId="27" borderId="80" xfId="106" applyNumberFormat="1" applyFont="1" applyFill="1" applyBorder="1" applyAlignment="1">
      <alignment horizontal="center" vertical="center"/>
    </xf>
    <xf numFmtId="4" fontId="91" fillId="20" borderId="0" xfId="0" applyNumberFormat="1" applyFont="1" applyFill="1" applyBorder="1"/>
    <xf numFmtId="4" fontId="48" fillId="20" borderId="0" xfId="0" applyNumberFormat="1" applyFont="1" applyFill="1" applyBorder="1" applyAlignment="1">
      <alignment horizontal="right"/>
    </xf>
    <xf numFmtId="0" fontId="27" fillId="20" borderId="56" xfId="0" applyFont="1" applyFill="1" applyBorder="1" applyAlignment="1">
      <alignment horizontal="center"/>
    </xf>
    <xf numFmtId="0" fontId="27" fillId="20" borderId="18" xfId="0" applyFont="1" applyFill="1" applyBorder="1" applyAlignment="1">
      <alignment horizontal="center"/>
    </xf>
    <xf numFmtId="0" fontId="27" fillId="20" borderId="53" xfId="0" applyFont="1" applyFill="1" applyBorder="1" applyAlignment="1">
      <alignment horizontal="center"/>
    </xf>
    <xf numFmtId="0" fontId="27" fillId="20" borderId="55" xfId="0" applyFont="1" applyFill="1" applyBorder="1" applyAlignment="1">
      <alignment horizontal="center"/>
    </xf>
    <xf numFmtId="0" fontId="27" fillId="20" borderId="27" xfId="0" applyFont="1" applyFill="1" applyBorder="1"/>
    <xf numFmtId="0" fontId="27" fillId="20" borderId="24" xfId="0" applyFont="1" applyFill="1" applyBorder="1"/>
    <xf numFmtId="0" fontId="27" fillId="20" borderId="22" xfId="0" applyFont="1" applyFill="1" applyBorder="1" applyAlignment="1">
      <alignment horizontal="center"/>
    </xf>
    <xf numFmtId="0" fontId="27" fillId="20" borderId="28" xfId="0" applyFont="1" applyFill="1" applyBorder="1" applyAlignment="1">
      <alignment horizontal="center"/>
    </xf>
    <xf numFmtId="1" fontId="54" fillId="20" borderId="27" xfId="0" applyNumberFormat="1" applyFont="1" applyFill="1" applyBorder="1"/>
    <xf numFmtId="15" fontId="54" fillId="20" borderId="18" xfId="0" quotePrefix="1" applyNumberFormat="1" applyFont="1" applyFill="1" applyBorder="1" applyAlignment="1">
      <alignment horizontal="right"/>
    </xf>
    <xf numFmtId="4" fontId="45" fillId="20" borderId="49" xfId="0" applyNumberFormat="1" applyFont="1" applyFill="1" applyBorder="1"/>
    <xf numFmtId="0" fontId="86" fillId="20" borderId="0" xfId="0" applyFont="1" applyFill="1" applyBorder="1" applyAlignment="1">
      <alignment horizontal="center"/>
    </xf>
    <xf numFmtId="0" fontId="12" fillId="26" borderId="96" xfId="0" applyFont="1" applyFill="1" applyBorder="1" applyAlignment="1"/>
    <xf numFmtId="0" fontId="12" fillId="26" borderId="47" xfId="0" applyFont="1" applyFill="1" applyBorder="1" applyAlignment="1"/>
    <xf numFmtId="0" fontId="12" fillId="26" borderId="97" xfId="0" applyFont="1" applyFill="1" applyBorder="1" applyAlignment="1"/>
    <xf numFmtId="0" fontId="12" fillId="0" borderId="0" xfId="0" applyFont="1" applyBorder="1" applyAlignment="1"/>
    <xf numFmtId="0" fontId="12" fillId="0" borderId="96" xfId="0" applyFont="1" applyBorder="1" applyAlignment="1"/>
    <xf numFmtId="0" fontId="12" fillId="0" borderId="47" xfId="0" applyFont="1" applyBorder="1" applyAlignment="1"/>
    <xf numFmtId="0" fontId="12" fillId="0" borderId="97" xfId="0" applyFont="1" applyBorder="1" applyAlignment="1"/>
    <xf numFmtId="0" fontId="1" fillId="0" borderId="23" xfId="0" applyFont="1" applyFill="1" applyBorder="1"/>
    <xf numFmtId="0" fontId="5" fillId="0" borderId="47" xfId="0" applyFont="1" applyBorder="1" applyAlignment="1"/>
    <xf numFmtId="0" fontId="5" fillId="0" borderId="97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54" fillId="20" borderId="29" xfId="0" applyNumberFormat="1" applyFont="1" applyFill="1" applyBorder="1" applyAlignment="1">
      <alignment horizontal="center"/>
    </xf>
    <xf numFmtId="1" fontId="54" fillId="20" borderId="30" xfId="0" applyNumberFormat="1" applyFont="1" applyFill="1" applyBorder="1" applyAlignment="1">
      <alignment horizontal="center"/>
    </xf>
    <xf numFmtId="1" fontId="54" fillId="20" borderId="44" xfId="0" applyNumberFormat="1" applyFont="1" applyFill="1" applyBorder="1"/>
    <xf numFmtId="4" fontId="45" fillId="20" borderId="44" xfId="0" applyNumberFormat="1" applyFont="1" applyFill="1" applyBorder="1"/>
    <xf numFmtId="4" fontId="45" fillId="20" borderId="0" xfId="0" applyNumberFormat="1" applyFont="1" applyFill="1" applyBorder="1"/>
    <xf numFmtId="0" fontId="27" fillId="20" borderId="30" xfId="0" applyFont="1" applyFill="1" applyBorder="1" applyAlignment="1">
      <alignment horizontal="center"/>
    </xf>
    <xf numFmtId="0" fontId="27" fillId="20" borderId="44" xfId="0" applyFont="1" applyFill="1" applyBorder="1"/>
    <xf numFmtId="4" fontId="45" fillId="20" borderId="27" xfId="0" applyNumberFormat="1" applyFont="1" applyFill="1" applyBorder="1"/>
    <xf numFmtId="4" fontId="54" fillId="20" borderId="44" xfId="0" applyNumberFormat="1" applyFont="1" applyFill="1" applyBorder="1"/>
    <xf numFmtId="4" fontId="54" fillId="20" borderId="28" xfId="0" applyNumberFormat="1" applyFont="1" applyFill="1" applyBorder="1"/>
    <xf numFmtId="0" fontId="15" fillId="0" borderId="0" xfId="0" applyFont="1" applyBorder="1" applyAlignment="1">
      <alignment horizontal="left"/>
    </xf>
    <xf numFmtId="0" fontId="5" fillId="0" borderId="0" xfId="0" applyFont="1" applyBorder="1" applyAlignment="1"/>
    <xf numFmtId="0" fontId="15" fillId="0" borderId="0" xfId="0" applyFont="1" applyFill="1" applyBorder="1" applyAlignment="1"/>
    <xf numFmtId="0" fontId="45" fillId="28" borderId="96" xfId="0" quotePrefix="1" applyFont="1" applyFill="1" applyBorder="1" applyAlignment="1">
      <alignment horizontal="left"/>
    </xf>
    <xf numFmtId="0" fontId="15" fillId="28" borderId="97" xfId="0" applyFont="1" applyFill="1" applyBorder="1" applyAlignment="1"/>
    <xf numFmtId="0" fontId="15" fillId="28" borderId="47" xfId="0" applyFont="1" applyFill="1" applyBorder="1" applyAlignment="1"/>
    <xf numFmtId="4" fontId="91" fillId="20" borderId="27" xfId="0" applyNumberFormat="1" applyFont="1" applyFill="1" applyBorder="1" applyAlignment="1">
      <alignment horizontal="right"/>
    </xf>
    <xf numFmtId="4" fontId="46" fillId="0" borderId="17" xfId="0" applyNumberFormat="1" applyFont="1" applyFill="1" applyBorder="1"/>
    <xf numFmtId="165" fontId="32" fillId="28" borderId="49" xfId="82" applyFont="1" applyFill="1" applyBorder="1"/>
    <xf numFmtId="165" fontId="12" fillId="0" borderId="16" xfId="82" applyFont="1" applyBorder="1" applyAlignment="1">
      <alignment horizontal="center"/>
    </xf>
    <xf numFmtId="165" fontId="12" fillId="0" borderId="49" xfId="82" applyFont="1" applyBorder="1" applyAlignment="1">
      <alignment horizontal="center"/>
    </xf>
    <xf numFmtId="0" fontId="3" fillId="20" borderId="0" xfId="102" applyFont="1" applyFill="1" applyAlignment="1"/>
    <xf numFmtId="0" fontId="1" fillId="0" borderId="0" xfId="102" applyFont="1" applyFill="1"/>
    <xf numFmtId="0" fontId="1" fillId="20" borderId="0" xfId="102" applyFill="1" applyBorder="1"/>
    <xf numFmtId="174" fontId="3" fillId="20" borderId="0" xfId="102" applyNumberFormat="1" applyFont="1" applyFill="1" applyAlignment="1">
      <alignment horizontal="left"/>
    </xf>
    <xf numFmtId="0" fontId="3" fillId="0" borderId="0" xfId="102" applyFont="1"/>
    <xf numFmtId="4" fontId="3" fillId="20" borderId="0" xfId="102" applyNumberFormat="1" applyFont="1" applyFill="1" applyAlignment="1">
      <alignment horizontal="left"/>
    </xf>
    <xf numFmtId="0" fontId="2" fillId="0" borderId="0" xfId="102" applyFont="1"/>
    <xf numFmtId="0" fontId="5" fillId="0" borderId="0" xfId="102" applyFont="1"/>
    <xf numFmtId="171" fontId="65" fillId="0" borderId="0" xfId="102" applyNumberFormat="1" applyFont="1" applyFill="1" applyAlignment="1">
      <alignment horizontal="centerContinuous"/>
    </xf>
    <xf numFmtId="171" fontId="1" fillId="0" borderId="0" xfId="102" applyNumberFormat="1" applyFont="1" applyFill="1" applyAlignment="1">
      <alignment horizontal="centerContinuous"/>
    </xf>
    <xf numFmtId="171" fontId="1" fillId="0" borderId="0" xfId="102" applyNumberFormat="1" applyFont="1" applyFill="1"/>
    <xf numFmtId="171" fontId="5" fillId="0" borderId="0" xfId="102" applyNumberFormat="1" applyFont="1" applyFill="1"/>
    <xf numFmtId="171" fontId="5" fillId="0" borderId="0" xfId="102" quotePrefix="1" applyNumberFormat="1" applyFont="1" applyFill="1" applyAlignment="1">
      <alignment horizontal="left"/>
    </xf>
    <xf numFmtId="171" fontId="1" fillId="0" borderId="0" xfId="102" applyNumberFormat="1" applyFont="1" applyFill="1" applyBorder="1"/>
    <xf numFmtId="172" fontId="85" fillId="0" borderId="0" xfId="102" applyNumberFormat="1" applyFont="1" applyFill="1" applyBorder="1"/>
    <xf numFmtId="171" fontId="5" fillId="0" borderId="0" xfId="102" quotePrefix="1" applyNumberFormat="1" applyFont="1" applyFill="1" applyBorder="1" applyAlignment="1">
      <alignment horizontal="left"/>
    </xf>
    <xf numFmtId="171" fontId="11" fillId="0" borderId="0" xfId="102" applyNumberFormat="1" applyFont="1" applyFill="1" applyBorder="1"/>
    <xf numFmtId="171" fontId="11" fillId="0" borderId="0" xfId="102" applyNumberFormat="1" applyFont="1" applyFill="1"/>
    <xf numFmtId="171" fontId="11" fillId="0" borderId="0" xfId="102" quotePrefix="1" applyNumberFormat="1" applyFont="1" applyFill="1"/>
    <xf numFmtId="171" fontId="17" fillId="0" borderId="0" xfId="102" applyNumberFormat="1" applyFont="1" applyFill="1"/>
    <xf numFmtId="171" fontId="12" fillId="0" borderId="0" xfId="102" applyNumberFormat="1" applyFont="1" applyFill="1"/>
    <xf numFmtId="171" fontId="87" fillId="0" borderId="0" xfId="102" applyNumberFormat="1" applyFont="1" applyFill="1"/>
    <xf numFmtId="171" fontId="14" fillId="0" borderId="0" xfId="102" applyNumberFormat="1" applyFont="1" applyFill="1"/>
    <xf numFmtId="171" fontId="88" fillId="0" borderId="0" xfId="102" applyNumberFormat="1" applyFont="1" applyFill="1"/>
    <xf numFmtId="171" fontId="14" fillId="0" borderId="0" xfId="102" quotePrefix="1" applyNumberFormat="1" applyFont="1" applyFill="1" applyAlignment="1">
      <alignment horizontal="left"/>
    </xf>
    <xf numFmtId="171" fontId="84" fillId="0" borderId="0" xfId="102" applyNumberFormat="1" applyFont="1" applyFill="1"/>
    <xf numFmtId="172" fontId="11" fillId="0" borderId="0" xfId="102" applyNumberFormat="1" applyFont="1" applyFill="1"/>
    <xf numFmtId="0" fontId="89" fillId="20" borderId="0" xfId="102" quotePrefix="1" applyFont="1" applyFill="1" applyBorder="1" applyAlignment="1">
      <alignment horizontal="left"/>
    </xf>
    <xf numFmtId="0" fontId="3" fillId="20" borderId="0" xfId="102" quotePrefix="1" applyFont="1" applyFill="1" applyAlignment="1">
      <alignment horizontal="left"/>
    </xf>
    <xf numFmtId="0" fontId="2" fillId="20" borderId="0" xfId="102" applyFont="1" applyFill="1"/>
    <xf numFmtId="0" fontId="1" fillId="24" borderId="0" xfId="102" applyFont="1" applyFill="1" applyAlignment="1">
      <alignment horizontal="center"/>
    </xf>
    <xf numFmtId="171" fontId="14" fillId="0" borderId="0" xfId="102" applyNumberFormat="1" applyFont="1" applyFill="1" applyBorder="1"/>
    <xf numFmtId="171" fontId="27" fillId="0" borderId="0" xfId="102" applyNumberFormat="1" applyFont="1" applyFill="1" applyBorder="1"/>
    <xf numFmtId="171" fontId="12" fillId="0" borderId="0" xfId="102" applyNumberFormat="1" applyFont="1" applyFill="1" applyBorder="1" applyAlignment="1">
      <alignment horizontal="center"/>
    </xf>
    <xf numFmtId="172" fontId="5" fillId="25" borderId="0" xfId="102" applyNumberFormat="1" applyFont="1" applyFill="1" applyBorder="1"/>
    <xf numFmtId="171" fontId="5" fillId="0" borderId="16" xfId="102" applyNumberFormat="1" applyFont="1" applyFill="1" applyBorder="1" applyAlignment="1">
      <alignment horizontal="center" vertical="center"/>
    </xf>
    <xf numFmtId="171" fontId="5" fillId="0" borderId="57" xfId="102" applyNumberFormat="1" applyFont="1" applyFill="1" applyBorder="1" applyAlignment="1">
      <alignment horizontal="center" vertical="center"/>
    </xf>
    <xf numFmtId="171" fontId="5" fillId="0" borderId="57" xfId="82" applyNumberFormat="1" applyFont="1" applyFill="1" applyBorder="1" applyAlignment="1">
      <alignment horizontal="center" vertical="center"/>
    </xf>
    <xf numFmtId="171" fontId="5" fillId="26" borderId="57" xfId="102" applyNumberFormat="1" applyFont="1" applyFill="1" applyBorder="1" applyAlignment="1">
      <alignment horizontal="center" vertical="center"/>
    </xf>
    <xf numFmtId="0" fontId="1" fillId="25" borderId="0" xfId="102" applyFont="1" applyFill="1"/>
    <xf numFmtId="171" fontId="5" fillId="0" borderId="27" xfId="102" applyNumberFormat="1" applyFont="1" applyFill="1" applyBorder="1" applyAlignment="1">
      <alignment vertical="center"/>
    </xf>
    <xf numFmtId="1" fontId="11" fillId="0" borderId="60" xfId="102" applyNumberFormat="1" applyFont="1" applyFill="1" applyBorder="1" applyAlignment="1">
      <alignment vertical="center"/>
    </xf>
    <xf numFmtId="171" fontId="5" fillId="0" borderId="60" xfId="102" applyNumberFormat="1" applyFont="1" applyFill="1" applyBorder="1" applyAlignment="1">
      <alignment horizontal="center" vertical="center"/>
    </xf>
    <xf numFmtId="171" fontId="5" fillId="0" borderId="60" xfId="102" applyNumberFormat="1" applyFont="1" applyFill="1" applyBorder="1" applyAlignment="1">
      <alignment horizontal="center"/>
    </xf>
    <xf numFmtId="171" fontId="5" fillId="0" borderId="60" xfId="82" applyNumberFormat="1" applyFont="1" applyFill="1" applyBorder="1" applyAlignment="1">
      <alignment horizontal="center" vertical="center"/>
    </xf>
    <xf numFmtId="171" fontId="5" fillId="0" borderId="60" xfId="102" applyNumberFormat="1" applyFont="1" applyFill="1" applyBorder="1" applyAlignment="1">
      <alignment vertical="center"/>
    </xf>
    <xf numFmtId="171" fontId="5" fillId="26" borderId="60" xfId="102" applyNumberFormat="1" applyFont="1" applyFill="1" applyBorder="1" applyAlignment="1">
      <alignment horizontal="center" vertical="center"/>
    </xf>
    <xf numFmtId="1" fontId="14" fillId="0" borderId="99" xfId="102" applyNumberFormat="1" applyFont="1" applyFill="1" applyBorder="1" applyAlignment="1">
      <alignment horizontal="center" vertical="center"/>
    </xf>
    <xf numFmtId="17" fontId="14" fillId="0" borderId="36" xfId="102" applyNumberFormat="1" applyFont="1" applyFill="1" applyBorder="1" applyAlignment="1">
      <alignment horizontal="left" vertical="center"/>
    </xf>
    <xf numFmtId="4" fontId="14" fillId="0" borderId="36" xfId="102" applyNumberFormat="1" applyFont="1" applyFill="1" applyBorder="1" applyAlignment="1">
      <alignment horizontal="right" vertical="center"/>
    </xf>
    <xf numFmtId="4" fontId="14" fillId="0" borderId="36" xfId="102" applyNumberFormat="1" applyFont="1" applyFill="1" applyBorder="1" applyAlignment="1">
      <alignment horizontal="center" vertical="center"/>
    </xf>
    <xf numFmtId="4" fontId="14" fillId="0" borderId="38" xfId="102" applyNumberFormat="1" applyFont="1" applyFill="1" applyBorder="1" applyAlignment="1">
      <alignment horizontal="right" vertical="center"/>
    </xf>
    <xf numFmtId="1" fontId="14" fillId="0" borderId="126" xfId="102" applyNumberFormat="1" applyFont="1" applyFill="1" applyBorder="1" applyAlignment="1">
      <alignment horizontal="center" vertical="center"/>
    </xf>
    <xf numFmtId="17" fontId="14" fillId="0" borderId="127" xfId="102" applyNumberFormat="1" applyFont="1" applyFill="1" applyBorder="1" applyAlignment="1">
      <alignment horizontal="left" vertical="center"/>
    </xf>
    <xf numFmtId="4" fontId="14" fillId="0" borderId="127" xfId="102" applyNumberFormat="1" applyFont="1" applyFill="1" applyBorder="1" applyAlignment="1">
      <alignment horizontal="center" vertical="center"/>
    </xf>
    <xf numFmtId="4" fontId="14" fillId="0" borderId="127" xfId="102" applyNumberFormat="1" applyFont="1" applyFill="1" applyBorder="1" applyAlignment="1">
      <alignment horizontal="right" vertical="center"/>
    </xf>
    <xf numFmtId="4" fontId="14" fillId="0" borderId="128" xfId="102" applyNumberFormat="1" applyFont="1" applyFill="1" applyBorder="1" applyAlignment="1">
      <alignment horizontal="right" vertical="center"/>
    </xf>
    <xf numFmtId="4" fontId="12" fillId="0" borderId="127" xfId="102" applyNumberFormat="1" applyFont="1" applyFill="1" applyBorder="1" applyAlignment="1">
      <alignment horizontal="right" vertical="center"/>
    </xf>
    <xf numFmtId="17" fontId="14" fillId="0" borderId="127" xfId="102" applyNumberFormat="1" applyFont="1" applyFill="1" applyBorder="1" applyAlignment="1">
      <alignment horizontal="center" vertical="center"/>
    </xf>
    <xf numFmtId="171" fontId="5" fillId="0" borderId="44" xfId="102" applyNumberFormat="1" applyFont="1" applyFill="1" applyBorder="1"/>
    <xf numFmtId="171" fontId="17" fillId="0" borderId="23" xfId="102" quotePrefix="1" applyNumberFormat="1" applyFont="1" applyFill="1" applyBorder="1"/>
    <xf numFmtId="171" fontId="17" fillId="0" borderId="23" xfId="102" applyNumberFormat="1" applyFont="1" applyFill="1" applyBorder="1"/>
    <xf numFmtId="171" fontId="1" fillId="0" borderId="23" xfId="102" applyNumberFormat="1" applyFont="1" applyFill="1" applyBorder="1"/>
    <xf numFmtId="171" fontId="17" fillId="0" borderId="25" xfId="102" applyNumberFormat="1" applyFont="1" applyFill="1" applyBorder="1" applyAlignment="1">
      <alignment horizontal="right"/>
    </xf>
    <xf numFmtId="4" fontId="12" fillId="0" borderId="24" xfId="102" applyNumberFormat="1" applyFont="1" applyFill="1" applyBorder="1" applyAlignment="1">
      <alignment horizontal="right" vertical="center"/>
    </xf>
    <xf numFmtId="171" fontId="5" fillId="0" borderId="0" xfId="102" applyNumberFormat="1" applyFont="1" applyFill="1" applyBorder="1"/>
    <xf numFmtId="171" fontId="17" fillId="0" borderId="0" xfId="102" quotePrefix="1" applyNumberFormat="1" applyFont="1" applyFill="1" applyBorder="1"/>
    <xf numFmtId="171" fontId="17" fillId="0" borderId="0" xfId="102" applyNumberFormat="1" applyFont="1" applyFill="1" applyBorder="1"/>
    <xf numFmtId="171" fontId="17" fillId="0" borderId="0" xfId="102" applyNumberFormat="1" applyFont="1" applyFill="1" applyBorder="1" applyAlignment="1">
      <alignment horizontal="right"/>
    </xf>
    <xf numFmtId="4" fontId="14" fillId="0" borderId="0" xfId="102" applyNumberFormat="1" applyFont="1" applyFill="1" applyBorder="1" applyAlignment="1">
      <alignment horizontal="right" vertical="center"/>
    </xf>
    <xf numFmtId="180" fontId="14" fillId="0" borderId="128" xfId="102" applyNumberFormat="1" applyFont="1" applyFill="1" applyBorder="1" applyAlignment="1">
      <alignment horizontal="right" vertical="center"/>
    </xf>
    <xf numFmtId="171" fontId="5" fillId="0" borderId="12" xfId="102" applyNumberFormat="1" applyFont="1" applyFill="1" applyBorder="1"/>
    <xf numFmtId="171" fontId="17" fillId="0" borderId="12" xfId="102" quotePrefix="1" applyNumberFormat="1" applyFont="1" applyFill="1" applyBorder="1"/>
    <xf numFmtId="171" fontId="17" fillId="0" borderId="12" xfId="102" applyNumberFormat="1" applyFont="1" applyFill="1" applyBorder="1"/>
    <xf numFmtId="171" fontId="1" fillId="0" borderId="12" xfId="102" applyNumberFormat="1" applyFont="1" applyFill="1" applyBorder="1"/>
    <xf numFmtId="171" fontId="17" fillId="0" borderId="12" xfId="102" applyNumberFormat="1" applyFont="1" applyFill="1" applyBorder="1" applyAlignment="1">
      <alignment horizontal="right"/>
    </xf>
    <xf numFmtId="4" fontId="14" fillId="0" borderId="12" xfId="102" applyNumberFormat="1" applyFont="1" applyFill="1" applyBorder="1" applyAlignment="1">
      <alignment horizontal="right" vertical="center"/>
    </xf>
    <xf numFmtId="171" fontId="1" fillId="0" borderId="0" xfId="102" applyNumberFormat="1" applyFont="1" applyFill="1" applyAlignment="1">
      <alignment horizontal="left" vertical="center" wrapText="1"/>
    </xf>
    <xf numFmtId="171" fontId="5" fillId="0" borderId="0" xfId="102" applyNumberFormat="1" applyFont="1" applyFill="1" applyBorder="1" applyAlignment="1">
      <alignment horizontal="left" vertical="center"/>
    </xf>
    <xf numFmtId="172" fontId="5" fillId="24" borderId="0" xfId="102" applyNumberFormat="1" applyFont="1" applyFill="1"/>
    <xf numFmtId="171" fontId="5" fillId="0" borderId="96" xfId="102" applyNumberFormat="1" applyFont="1" applyFill="1" applyBorder="1" applyAlignment="1">
      <alignment horizontal="left" vertical="center"/>
    </xf>
    <xf numFmtId="171" fontId="17" fillId="0" borderId="47" xfId="102" applyNumberFormat="1" applyFont="1" applyFill="1" applyBorder="1"/>
    <xf numFmtId="171" fontId="17" fillId="0" borderId="47" xfId="102" quotePrefix="1" applyNumberFormat="1" applyFont="1" applyFill="1" applyBorder="1"/>
    <xf numFmtId="171" fontId="1" fillId="0" borderId="47" xfId="102" applyNumberFormat="1" applyFont="1" applyFill="1" applyBorder="1"/>
    <xf numFmtId="171" fontId="11" fillId="0" borderId="47" xfId="102" applyNumberFormat="1" applyFont="1" applyFill="1" applyBorder="1" applyAlignment="1">
      <alignment horizontal="right" vertical="center"/>
    </xf>
    <xf numFmtId="4" fontId="11" fillId="26" borderId="97" xfId="102" applyNumberFormat="1" applyFont="1" applyFill="1" applyBorder="1" applyAlignment="1">
      <alignment horizontal="center" vertical="center"/>
    </xf>
    <xf numFmtId="4" fontId="1" fillId="0" borderId="0" xfId="102" applyNumberFormat="1" applyFont="1" applyFill="1"/>
    <xf numFmtId="171" fontId="17" fillId="0" borderId="0" xfId="102" quotePrefix="1" applyNumberFormat="1" applyFont="1" applyFill="1"/>
    <xf numFmtId="171" fontId="50" fillId="0" borderId="30" xfId="102" applyNumberFormat="1" applyFont="1" applyFill="1" applyBorder="1"/>
    <xf numFmtId="171" fontId="50" fillId="0" borderId="0" xfId="102" applyNumberFormat="1" applyFont="1" applyFill="1" applyBorder="1"/>
    <xf numFmtId="171" fontId="50" fillId="0" borderId="0" xfId="102" quotePrefix="1" applyNumberFormat="1" applyFont="1" applyFill="1" applyBorder="1"/>
    <xf numFmtId="171" fontId="28" fillId="0" borderId="0" xfId="102" applyNumberFormat="1" applyFont="1" applyFill="1" applyBorder="1"/>
    <xf numFmtId="171" fontId="28" fillId="0" borderId="59" xfId="102" applyNumberFormat="1" applyFont="1" applyFill="1" applyBorder="1"/>
    <xf numFmtId="171" fontId="29" fillId="0" borderId="30" xfId="102" applyNumberFormat="1" applyFont="1" applyFill="1" applyBorder="1"/>
    <xf numFmtId="0" fontId="28" fillId="0" borderId="59" xfId="102" applyFont="1" applyFill="1" applyBorder="1"/>
    <xf numFmtId="171" fontId="28" fillId="0" borderId="30" xfId="102" applyNumberFormat="1" applyFont="1" applyFill="1" applyBorder="1"/>
    <xf numFmtId="172" fontId="29" fillId="0" borderId="0" xfId="102" applyNumberFormat="1" applyFont="1" applyFill="1" applyBorder="1"/>
    <xf numFmtId="171" fontId="29" fillId="0" borderId="0" xfId="102" quotePrefix="1" applyNumberFormat="1" applyFont="1" applyFill="1" applyBorder="1" applyAlignment="1">
      <alignment horizontal="left"/>
    </xf>
    <xf numFmtId="4" fontId="12" fillId="0" borderId="0" xfId="102" applyNumberFormat="1" applyFont="1" applyFill="1" applyBorder="1" applyAlignment="1">
      <alignment horizontal="center" vertical="center"/>
    </xf>
    <xf numFmtId="171" fontId="2" fillId="0" borderId="0" xfId="102" applyNumberFormat="1" applyFont="1" applyFill="1" applyBorder="1" applyAlignment="1">
      <alignment horizontal="right"/>
    </xf>
    <xf numFmtId="0" fontId="28" fillId="0" borderId="30" xfId="102" applyFont="1" applyFill="1" applyBorder="1"/>
    <xf numFmtId="0" fontId="28" fillId="0" borderId="0" xfId="102" applyFont="1" applyFill="1" applyBorder="1"/>
    <xf numFmtId="0" fontId="28" fillId="0" borderId="27" xfId="102" applyFont="1" applyFill="1" applyBorder="1"/>
    <xf numFmtId="171" fontId="2" fillId="0" borderId="0" xfId="102" applyNumberFormat="1" applyFont="1" applyFill="1" applyBorder="1"/>
    <xf numFmtId="171" fontId="36" fillId="0" borderId="96" xfId="102" applyNumberFormat="1" applyFont="1" applyFill="1" applyBorder="1"/>
    <xf numFmtId="171" fontId="28" fillId="0" borderId="47" xfId="102" applyNumberFormat="1" applyFont="1" applyFill="1" applyBorder="1"/>
    <xf numFmtId="171" fontId="50" fillId="0" borderId="47" xfId="102" quotePrefix="1" applyNumberFormat="1" applyFont="1" applyFill="1" applyBorder="1"/>
    <xf numFmtId="171" fontId="50" fillId="0" borderId="47" xfId="102" applyNumberFormat="1" applyFont="1" applyFill="1" applyBorder="1"/>
    <xf numFmtId="171" fontId="28" fillId="0" borderId="97" xfId="102" applyNumberFormat="1" applyFont="1" applyFill="1" applyBorder="1"/>
    <xf numFmtId="169" fontId="14" fillId="0" borderId="43" xfId="102" applyNumberFormat="1" applyFont="1" applyFill="1" applyBorder="1" applyAlignment="1">
      <alignment horizontal="center" vertical="center"/>
    </xf>
    <xf numFmtId="4" fontId="12" fillId="0" borderId="49" xfId="102" applyNumberFormat="1" applyFont="1" applyFill="1" applyBorder="1" applyAlignment="1">
      <alignment horizontal="right" vertical="center"/>
    </xf>
    <xf numFmtId="0" fontId="13" fillId="20" borderId="0" xfId="0" applyNumberFormat="1" applyFont="1" applyFill="1" applyBorder="1"/>
    <xf numFmtId="171" fontId="29" fillId="0" borderId="50" xfId="83" applyNumberFormat="1" applyFont="1" applyFill="1" applyBorder="1" applyAlignment="1">
      <alignment horizontal="right"/>
    </xf>
    <xf numFmtId="165" fontId="52" fillId="0" borderId="74" xfId="82" applyFont="1" applyFill="1" applyBorder="1" applyAlignment="1">
      <alignment horizontal="center" vertical="center"/>
    </xf>
    <xf numFmtId="10" fontId="42" fillId="20" borderId="0" xfId="112" applyNumberFormat="1" applyFont="1" applyFill="1" applyAlignment="1">
      <alignment vertical="center"/>
    </xf>
    <xf numFmtId="4" fontId="58" fillId="27" borderId="0" xfId="106" applyNumberFormat="1" applyFont="1" applyFill="1" applyAlignment="1">
      <alignment horizontal="center" vertical="center"/>
    </xf>
    <xf numFmtId="165" fontId="1" fillId="0" borderId="0" xfId="82" applyFont="1" applyBorder="1"/>
    <xf numFmtId="4" fontId="47" fillId="0" borderId="30" xfId="0" applyNumberFormat="1" applyFont="1" applyFill="1" applyBorder="1"/>
    <xf numFmtId="171" fontId="16" fillId="0" borderId="0" xfId="102" applyNumberFormat="1" applyFont="1" applyFill="1" applyBorder="1" applyAlignment="1">
      <alignment horizontal="center"/>
    </xf>
    <xf numFmtId="4" fontId="12" fillId="0" borderId="0" xfId="102" applyNumberFormat="1" applyFont="1" applyFill="1" applyBorder="1" applyAlignment="1">
      <alignment horizontal="right" vertical="center"/>
    </xf>
    <xf numFmtId="4" fontId="45" fillId="20" borderId="49" xfId="0" applyNumberFormat="1" applyFont="1" applyFill="1" applyBorder="1" applyAlignment="1">
      <alignment horizontal="center"/>
    </xf>
    <xf numFmtId="0" fontId="39" fillId="20" borderId="12" xfId="0" applyFont="1" applyFill="1" applyBorder="1" applyAlignment="1">
      <alignment horizontal="center"/>
    </xf>
    <xf numFmtId="0" fontId="8" fillId="20" borderId="0" xfId="0" quotePrefix="1" applyFont="1" applyFill="1" applyAlignment="1"/>
    <xf numFmtId="0" fontId="8" fillId="0" borderId="0" xfId="0" applyFont="1"/>
    <xf numFmtId="49" fontId="39" fillId="20" borderId="18" xfId="0" quotePrefix="1" applyNumberFormat="1" applyFont="1" applyFill="1" applyBorder="1" applyAlignment="1">
      <alignment horizontal="center"/>
    </xf>
    <xf numFmtId="165" fontId="41" fillId="20" borderId="11" xfId="82" applyFont="1" applyFill="1" applyBorder="1"/>
    <xf numFmtId="165" fontId="41" fillId="20" borderId="57" xfId="82" applyFont="1" applyFill="1" applyBorder="1"/>
    <xf numFmtId="165" fontId="41" fillId="0" borderId="17" xfId="82" applyFont="1" applyFill="1" applyBorder="1"/>
    <xf numFmtId="165" fontId="41" fillId="20" borderId="59" xfId="82" applyFont="1" applyFill="1" applyBorder="1"/>
    <xf numFmtId="165" fontId="41" fillId="0" borderId="99" xfId="82" applyFont="1" applyFill="1" applyBorder="1"/>
    <xf numFmtId="165" fontId="41" fillId="20" borderId="38" xfId="82" applyFont="1" applyFill="1" applyBorder="1"/>
    <xf numFmtId="165" fontId="41" fillId="0" borderId="30" xfId="82" applyFont="1" applyFill="1" applyBorder="1"/>
    <xf numFmtId="165" fontId="41" fillId="20" borderId="54" xfId="82" applyFont="1" applyFill="1" applyBorder="1" applyAlignment="1">
      <alignment horizontal="center"/>
    </xf>
    <xf numFmtId="165" fontId="41" fillId="20" borderId="31" xfId="82" applyFont="1" applyFill="1" applyBorder="1"/>
    <xf numFmtId="165" fontId="41" fillId="20" borderId="31" xfId="82" applyFont="1" applyFill="1" applyBorder="1" applyAlignment="1">
      <alignment horizontal="center"/>
    </xf>
    <xf numFmtId="165" fontId="41" fillId="0" borderId="32" xfId="82" applyFont="1" applyFill="1" applyBorder="1"/>
    <xf numFmtId="165" fontId="41" fillId="20" borderId="38" xfId="82" applyFont="1" applyFill="1" applyBorder="1" applyAlignment="1">
      <alignment horizontal="right"/>
    </xf>
    <xf numFmtId="165" fontId="41" fillId="0" borderId="53" xfId="82" applyFont="1" applyFill="1" applyBorder="1"/>
    <xf numFmtId="165" fontId="41" fillId="20" borderId="55" xfId="82" applyFont="1" applyFill="1" applyBorder="1"/>
    <xf numFmtId="165" fontId="41" fillId="20" borderId="22" xfId="82" applyFont="1" applyFill="1" applyBorder="1"/>
    <xf numFmtId="165" fontId="41" fillId="20" borderId="28" xfId="82" applyFont="1" applyFill="1" applyBorder="1"/>
    <xf numFmtId="165" fontId="39" fillId="0" borderId="45" xfId="82" applyFont="1" applyFill="1" applyBorder="1"/>
    <xf numFmtId="165" fontId="39" fillId="20" borderId="50" xfId="82" applyFont="1" applyFill="1" applyBorder="1"/>
    <xf numFmtId="0" fontId="57" fillId="30" borderId="0" xfId="0" quotePrefix="1" applyFont="1" applyFill="1" applyAlignment="1">
      <alignment horizontal="left"/>
    </xf>
    <xf numFmtId="0" fontId="40" fillId="30" borderId="0" xfId="0" quotePrefix="1" applyFont="1" applyFill="1" applyAlignment="1">
      <alignment horizontal="left"/>
    </xf>
    <xf numFmtId="0" fontId="40" fillId="30" borderId="0" xfId="0" applyFont="1" applyFill="1"/>
    <xf numFmtId="0" fontId="38" fillId="30" borderId="0" xfId="0" applyFont="1" applyFill="1"/>
    <xf numFmtId="165" fontId="14" fillId="0" borderId="36" xfId="82" applyFont="1" applyFill="1" applyBorder="1" applyAlignment="1">
      <alignment horizontal="right" vertical="center"/>
    </xf>
    <xf numFmtId="184" fontId="14" fillId="0" borderId="127" xfId="102" applyNumberFormat="1" applyFont="1" applyFill="1" applyBorder="1" applyAlignment="1">
      <alignment horizontal="right" vertical="center"/>
    </xf>
    <xf numFmtId="184" fontId="1" fillId="0" borderId="127" xfId="82" applyNumberFormat="1" applyFont="1" applyFill="1" applyBorder="1"/>
    <xf numFmtId="184" fontId="1" fillId="0" borderId="36" xfId="82" applyNumberFormat="1" applyFont="1" applyFill="1" applyBorder="1"/>
    <xf numFmtId="177" fontId="2" fillId="20" borderId="0" xfId="102" applyNumberFormat="1" applyFont="1" applyFill="1"/>
    <xf numFmtId="169" fontId="14" fillId="0" borderId="127" xfId="102" applyNumberFormat="1" applyFont="1" applyFill="1" applyBorder="1" applyAlignment="1">
      <alignment horizontal="right" vertical="center"/>
    </xf>
    <xf numFmtId="4" fontId="14" fillId="26" borderId="127" xfId="102" applyNumberFormat="1" applyFont="1" applyFill="1" applyBorder="1" applyAlignment="1">
      <alignment horizontal="right" vertical="center"/>
    </xf>
    <xf numFmtId="4" fontId="14" fillId="26" borderId="36" xfId="102" applyNumberFormat="1" applyFont="1" applyFill="1" applyBorder="1" applyAlignment="1">
      <alignment horizontal="right" vertical="center"/>
    </xf>
    <xf numFmtId="165" fontId="31" fillId="0" borderId="20" xfId="82" applyFont="1" applyFill="1" applyBorder="1" applyAlignment="1">
      <alignment horizontal="right" vertical="center"/>
    </xf>
    <xf numFmtId="0" fontId="8" fillId="20" borderId="0" xfId="0" quotePrefix="1" applyFont="1" applyFill="1" applyBorder="1" applyAlignment="1"/>
    <xf numFmtId="0" fontId="8" fillId="0" borderId="0" xfId="0" applyFont="1" applyBorder="1"/>
    <xf numFmtId="0" fontId="85" fillId="20" borderId="0" xfId="0" applyFont="1" applyFill="1" applyAlignment="1">
      <alignment wrapText="1"/>
    </xf>
    <xf numFmtId="0" fontId="85" fillId="29" borderId="0" xfId="0" quotePrefix="1" applyFont="1" applyFill="1" applyAlignment="1">
      <alignment vertical="center"/>
    </xf>
    <xf numFmtId="0" fontId="85" fillId="29" borderId="0" xfId="0" applyFont="1" applyFill="1" applyAlignment="1">
      <alignment vertical="center"/>
    </xf>
    <xf numFmtId="0" fontId="85" fillId="29" borderId="0" xfId="0" applyFont="1" applyFill="1" applyAlignment="1"/>
    <xf numFmtId="0" fontId="8" fillId="29" borderId="0" xfId="0" applyFont="1" applyFill="1" applyAlignment="1"/>
    <xf numFmtId="0" fontId="8" fillId="29" borderId="0" xfId="0" quotePrefix="1" applyFont="1" applyFill="1" applyAlignment="1"/>
    <xf numFmtId="14" fontId="85" fillId="29" borderId="0" xfId="0" applyNumberFormat="1" applyFont="1" applyFill="1" applyAlignment="1">
      <alignment horizontal="left"/>
    </xf>
    <xf numFmtId="174" fontId="85" fillId="29" borderId="0" xfId="0" applyNumberFormat="1" applyFont="1" applyFill="1" applyAlignment="1">
      <alignment horizontal="left"/>
    </xf>
    <xf numFmtId="4" fontId="85" fillId="29" borderId="0" xfId="0" applyNumberFormat="1" applyFont="1" applyFill="1" applyAlignment="1"/>
    <xf numFmtId="0" fontId="8" fillId="29" borderId="0" xfId="0" quotePrefix="1" applyFont="1" applyFill="1" applyBorder="1" applyAlignment="1"/>
    <xf numFmtId="0" fontId="85" fillId="29" borderId="0" xfId="0" applyFont="1" applyFill="1"/>
    <xf numFmtId="0" fontId="8" fillId="29" borderId="0" xfId="0" applyFont="1" applyFill="1"/>
    <xf numFmtId="0" fontId="8" fillId="29" borderId="0" xfId="0" applyFont="1" applyFill="1" applyBorder="1"/>
    <xf numFmtId="0" fontId="0" fillId="29" borderId="0" xfId="0" applyFill="1"/>
    <xf numFmtId="165" fontId="54" fillId="20" borderId="30" xfId="82" applyFont="1" applyFill="1" applyBorder="1" applyAlignment="1">
      <alignment horizontal="center"/>
    </xf>
    <xf numFmtId="1" fontId="54" fillId="20" borderId="16" xfId="0" applyNumberFormat="1" applyFont="1" applyFill="1" applyBorder="1" applyAlignment="1">
      <alignment horizontal="center"/>
    </xf>
    <xf numFmtId="17" fontId="31" fillId="0" borderId="15" xfId="0" applyNumberFormat="1" applyFont="1" applyFill="1" applyBorder="1" applyAlignment="1">
      <alignment horizontal="center" vertical="center"/>
    </xf>
    <xf numFmtId="4" fontId="54" fillId="20" borderId="30" xfId="0" applyNumberFormat="1" applyFont="1" applyFill="1" applyBorder="1"/>
    <xf numFmtId="4" fontId="54" fillId="20" borderId="58" xfId="0" applyNumberFormat="1" applyFont="1" applyFill="1" applyBorder="1"/>
    <xf numFmtId="1" fontId="54" fillId="20" borderId="56" xfId="0" applyNumberFormat="1" applyFont="1" applyFill="1" applyBorder="1" applyAlignment="1">
      <alignment horizontal="center"/>
    </xf>
    <xf numFmtId="4" fontId="31" fillId="0" borderId="31" xfId="0" applyNumberFormat="1" applyFont="1" applyBorder="1"/>
    <xf numFmtId="1" fontId="45" fillId="20" borderId="27" xfId="0" applyNumberFormat="1" applyFont="1" applyFill="1" applyBorder="1"/>
    <xf numFmtId="15" fontId="45" fillId="20" borderId="49" xfId="0" quotePrefix="1" applyNumberFormat="1" applyFont="1" applyFill="1" applyBorder="1" applyAlignment="1">
      <alignment horizontal="right"/>
    </xf>
    <xf numFmtId="165" fontId="45" fillId="20" borderId="27" xfId="82" applyFont="1" applyFill="1" applyBorder="1"/>
    <xf numFmtId="4" fontId="1" fillId="0" borderId="0" xfId="0" applyNumberFormat="1" applyFont="1" applyFill="1"/>
    <xf numFmtId="165" fontId="1" fillId="0" borderId="0" xfId="0" applyNumberFormat="1" applyFont="1" applyFill="1"/>
    <xf numFmtId="4" fontId="12" fillId="0" borderId="28" xfId="102" applyNumberFormat="1" applyFont="1" applyFill="1" applyBorder="1" applyAlignment="1">
      <alignment horizontal="right" vertical="center"/>
    </xf>
    <xf numFmtId="165" fontId="31" fillId="26" borderId="20" xfId="82" applyFont="1" applyFill="1" applyBorder="1" applyAlignment="1">
      <alignment horizontal="right" vertical="center"/>
    </xf>
    <xf numFmtId="165" fontId="11" fillId="26" borderId="49" xfId="0" applyNumberFormat="1" applyFont="1" applyFill="1" applyBorder="1" applyAlignment="1">
      <alignment horizontal="center"/>
    </xf>
    <xf numFmtId="185" fontId="54" fillId="20" borderId="30" xfId="0" applyNumberFormat="1" applyFont="1" applyFill="1" applyBorder="1" applyAlignment="1">
      <alignment horizontal="center"/>
    </xf>
    <xf numFmtId="0" fontId="28" fillId="29" borderId="0" xfId="105" applyFont="1" applyFill="1" applyBorder="1" applyAlignment="1" applyProtection="1">
      <alignment vertical="center"/>
    </xf>
    <xf numFmtId="4" fontId="28" fillId="29" borderId="0" xfId="105" applyNumberFormat="1" applyFont="1" applyFill="1" applyBorder="1" applyAlignment="1" applyProtection="1">
      <alignment vertical="center"/>
    </xf>
    <xf numFmtId="165" fontId="28" fillId="29" borderId="0" xfId="105" applyNumberFormat="1" applyFont="1" applyFill="1" applyBorder="1" applyAlignment="1" applyProtection="1">
      <alignment vertical="center"/>
    </xf>
    <xf numFmtId="0" fontId="1" fillId="29" borderId="0" xfId="105" applyFont="1" applyFill="1" applyAlignment="1">
      <alignment vertical="center"/>
    </xf>
    <xf numFmtId="10" fontId="1" fillId="29" borderId="0" xfId="116" applyNumberFormat="1" applyFont="1" applyFill="1" applyAlignment="1">
      <alignment vertical="center"/>
    </xf>
    <xf numFmtId="4" fontId="0" fillId="0" borderId="0" xfId="0" applyNumberFormat="1"/>
    <xf numFmtId="0" fontId="0" fillId="31" borderId="135" xfId="0" applyFill="1" applyBorder="1"/>
    <xf numFmtId="0" fontId="0" fillId="31" borderId="136" xfId="0" applyFill="1" applyBorder="1"/>
    <xf numFmtId="0" fontId="29" fillId="31" borderId="45" xfId="105" applyFont="1" applyFill="1" applyBorder="1" applyAlignment="1" applyProtection="1">
      <alignment horizontal="center" vertical="center" wrapText="1"/>
    </xf>
    <xf numFmtId="0" fontId="29" fillId="31" borderId="98" xfId="105" applyFont="1" applyFill="1" applyBorder="1" applyAlignment="1" applyProtection="1">
      <alignment horizontal="center" vertical="center"/>
    </xf>
    <xf numFmtId="0" fontId="29" fillId="31" borderId="16" xfId="105" applyFont="1" applyFill="1" applyBorder="1" applyAlignment="1" applyProtection="1">
      <alignment horizontal="center" vertical="center" wrapText="1"/>
    </xf>
    <xf numFmtId="0" fontId="5" fillId="0" borderId="99" xfId="105" applyFont="1" applyFill="1" applyBorder="1" applyAlignment="1" applyProtection="1">
      <alignment horizontal="center" vertical="center"/>
    </xf>
    <xf numFmtId="15" fontId="5" fillId="0" borderId="36" xfId="105" applyNumberFormat="1" applyFont="1" applyFill="1" applyBorder="1" applyAlignment="1" applyProtection="1">
      <alignment horizontal="left" vertical="center"/>
    </xf>
    <xf numFmtId="2" fontId="5" fillId="0" borderId="36" xfId="85" applyFont="1" applyFill="1" applyBorder="1" applyAlignment="1" applyProtection="1">
      <alignment horizontal="center" vertical="center"/>
      <protection locked="0"/>
    </xf>
    <xf numFmtId="10" fontId="5" fillId="0" borderId="36" xfId="105" applyNumberFormat="1" applyFont="1" applyFill="1" applyBorder="1" applyAlignment="1" applyProtection="1">
      <alignment horizontal="center" vertical="center"/>
    </xf>
    <xf numFmtId="4" fontId="5" fillId="0" borderId="127" xfId="85" applyNumberFormat="1" applyFont="1" applyFill="1" applyBorder="1" applyAlignment="1" applyProtection="1">
      <alignment horizontal="center" vertical="center"/>
      <protection locked="0"/>
    </xf>
    <xf numFmtId="10" fontId="5" fillId="0" borderId="36" xfId="116" applyNumberFormat="1" applyFont="1" applyFill="1" applyBorder="1" applyAlignment="1" applyProtection="1">
      <alignment horizontal="center" vertical="center"/>
    </xf>
    <xf numFmtId="10" fontId="5" fillId="0" borderId="33" xfId="116" applyNumberFormat="1" applyFont="1" applyFill="1" applyBorder="1" applyAlignment="1" applyProtection="1">
      <alignment horizontal="center" vertical="center"/>
    </xf>
    <xf numFmtId="0" fontId="0" fillId="0" borderId="134" xfId="0" applyFill="1" applyBorder="1"/>
    <xf numFmtId="0" fontId="5" fillId="0" borderId="126" xfId="105" applyFont="1" applyFill="1" applyBorder="1" applyAlignment="1" applyProtection="1">
      <alignment horizontal="center" vertical="center"/>
    </xf>
    <xf numFmtId="14" fontId="5" fillId="0" borderId="127" xfId="105" applyNumberFormat="1" applyFont="1" applyFill="1" applyBorder="1" applyAlignment="1" applyProtection="1">
      <alignment horizontal="left" vertical="center"/>
      <protection locked="0"/>
    </xf>
    <xf numFmtId="10" fontId="5" fillId="0" borderId="127" xfId="105" applyNumberFormat="1" applyFont="1" applyFill="1" applyBorder="1" applyAlignment="1" applyProtection="1">
      <alignment horizontal="center" vertical="center"/>
    </xf>
    <xf numFmtId="10" fontId="5" fillId="0" borderId="127" xfId="105" applyNumberFormat="1" applyFont="1" applyFill="1" applyBorder="1" applyAlignment="1" applyProtection="1">
      <alignment horizontal="center" vertical="top"/>
    </xf>
    <xf numFmtId="10" fontId="5" fillId="0" borderId="127" xfId="116" applyNumberFormat="1" applyFont="1" applyFill="1" applyBorder="1" applyAlignment="1" applyProtection="1">
      <alignment horizontal="center" vertical="top"/>
    </xf>
    <xf numFmtId="4" fontId="5" fillId="0" borderId="127" xfId="85" applyNumberFormat="1" applyFont="1" applyFill="1" applyBorder="1" applyAlignment="1" applyProtection="1">
      <alignment horizontal="center" vertical="top"/>
      <protection locked="0"/>
    </xf>
    <xf numFmtId="10" fontId="5" fillId="0" borderId="94" xfId="116" applyNumberFormat="1" applyFont="1" applyFill="1" applyBorder="1" applyAlignment="1" applyProtection="1">
      <alignment horizontal="center" vertical="top"/>
    </xf>
    <xf numFmtId="0" fontId="0" fillId="0" borderId="128" xfId="0" applyFill="1" applyBorder="1"/>
    <xf numFmtId="0" fontId="5" fillId="0" borderId="126" xfId="105" applyFont="1" applyFill="1" applyBorder="1" applyAlignment="1" applyProtection="1">
      <alignment horizontal="center" vertical="center"/>
      <protection locked="0"/>
    </xf>
    <xf numFmtId="4" fontId="5" fillId="0" borderId="129" xfId="85" applyNumberFormat="1" applyFont="1" applyFill="1" applyBorder="1" applyAlignment="1" applyProtection="1">
      <alignment horizontal="center" vertical="center"/>
    </xf>
    <xf numFmtId="10" fontId="5" fillId="0" borderId="129" xfId="114" applyNumberFormat="1" applyFont="1" applyFill="1" applyBorder="1" applyAlignment="1" applyProtection="1">
      <alignment horizontal="center" vertical="center"/>
    </xf>
    <xf numFmtId="4" fontId="5" fillId="0" borderId="129" xfId="105" applyNumberFormat="1" applyFont="1" applyFill="1" applyBorder="1" applyAlignment="1" applyProtection="1">
      <alignment vertical="center"/>
    </xf>
    <xf numFmtId="4" fontId="5" fillId="0" borderId="129" xfId="85" applyNumberFormat="1" applyFont="1" applyFill="1" applyBorder="1" applyAlignment="1" applyProtection="1">
      <alignment vertical="center"/>
    </xf>
    <xf numFmtId="10" fontId="5" fillId="0" borderId="129" xfId="116" applyNumberFormat="1" applyFont="1" applyFill="1" applyBorder="1" applyAlignment="1" applyProtection="1">
      <alignment vertical="center"/>
    </xf>
    <xf numFmtId="10" fontId="5" fillId="0" borderId="129" xfId="105" applyNumberFormat="1" applyFont="1" applyFill="1" applyBorder="1" applyAlignment="1" applyProtection="1">
      <alignment vertical="center"/>
    </xf>
    <xf numFmtId="10" fontId="5" fillId="0" borderId="129" xfId="116" applyNumberFormat="1" applyFont="1" applyFill="1" applyBorder="1" applyAlignment="1" applyProtection="1">
      <alignment horizontal="right" vertical="center"/>
    </xf>
    <xf numFmtId="10" fontId="5" fillId="0" borderId="131" xfId="105" applyNumberFormat="1" applyFont="1" applyFill="1" applyBorder="1" applyAlignment="1" applyProtection="1">
      <alignment vertical="center"/>
    </xf>
    <xf numFmtId="0" fontId="0" fillId="0" borderId="130" xfId="0" applyFill="1" applyBorder="1"/>
    <xf numFmtId="4" fontId="5" fillId="29" borderId="0" xfId="85" applyNumberFormat="1" applyFont="1" applyFill="1" applyBorder="1" applyAlignment="1" applyProtection="1">
      <alignment horizontal="center" vertical="center"/>
      <protection locked="0"/>
    </xf>
    <xf numFmtId="0" fontId="29" fillId="32" borderId="98" xfId="105" applyFont="1" applyFill="1" applyBorder="1" applyAlignment="1" applyProtection="1">
      <alignment horizontal="center" vertical="center" wrapText="1"/>
    </xf>
    <xf numFmtId="0" fontId="29" fillId="33" borderId="98" xfId="105" applyFont="1" applyFill="1" applyBorder="1" applyAlignment="1" applyProtection="1">
      <alignment horizontal="center" vertical="center" wrapText="1"/>
    </xf>
    <xf numFmtId="0" fontId="29" fillId="34" borderId="98" xfId="105" applyFont="1" applyFill="1" applyBorder="1" applyAlignment="1" applyProtection="1">
      <alignment horizontal="center" vertical="center" wrapText="1"/>
    </xf>
    <xf numFmtId="0" fontId="29" fillId="34" borderId="50" xfId="105" applyFont="1" applyFill="1" applyBorder="1" applyAlignment="1" applyProtection="1">
      <alignment horizontal="center" vertical="center" wrapText="1"/>
    </xf>
    <xf numFmtId="0" fontId="14" fillId="0" borderId="12" xfId="105" applyFont="1" applyFill="1" applyBorder="1" applyAlignment="1">
      <alignment vertical="center"/>
    </xf>
    <xf numFmtId="0" fontId="12" fillId="0" borderId="12" xfId="105" applyFont="1" applyFill="1" applyBorder="1" applyAlignment="1">
      <alignment vertical="top"/>
    </xf>
    <xf numFmtId="0" fontId="27" fillId="0" borderId="0" xfId="105" applyFont="1" applyFill="1" applyBorder="1" applyAlignment="1">
      <alignment vertical="center"/>
    </xf>
    <xf numFmtId="0" fontId="31" fillId="0" borderId="0" xfId="105" applyFont="1" applyFill="1" applyBorder="1" applyAlignment="1">
      <alignment vertical="center"/>
    </xf>
    <xf numFmtId="0" fontId="14" fillId="0" borderId="0" xfId="105" applyFont="1" applyFill="1" applyBorder="1" applyAlignment="1">
      <alignment vertical="center"/>
    </xf>
    <xf numFmtId="0" fontId="107" fillId="0" borderId="0" xfId="105" applyFont="1" applyFill="1" applyBorder="1" applyAlignment="1">
      <alignment vertical="top"/>
    </xf>
    <xf numFmtId="38" fontId="31" fillId="0" borderId="0" xfId="105" applyNumberFormat="1" applyFont="1" applyFill="1" applyBorder="1" applyAlignment="1">
      <alignment vertical="center"/>
    </xf>
    <xf numFmtId="4" fontId="14" fillId="29" borderId="139" xfId="109" applyNumberFormat="1" applyFont="1" applyFill="1" applyBorder="1" applyAlignment="1" applyProtection="1">
      <alignment horizontal="right" vertical="center"/>
      <protection locked="0"/>
    </xf>
    <xf numFmtId="186" fontId="14" fillId="0" borderId="140" xfId="128" applyNumberFormat="1" applyFont="1" applyFill="1" applyBorder="1" applyAlignment="1" applyProtection="1">
      <alignment vertical="center"/>
      <protection locked="0"/>
    </xf>
    <xf numFmtId="0" fontId="12" fillId="0" borderId="0" xfId="105" applyFont="1" applyFill="1" applyBorder="1" applyAlignment="1">
      <alignment horizontal="left" vertical="center" wrapText="1"/>
    </xf>
    <xf numFmtId="0" fontId="12" fillId="0" borderId="12" xfId="105" applyFont="1" applyFill="1" applyBorder="1" applyAlignment="1">
      <alignment horizontal="left" vertical="center" wrapText="1"/>
    </xf>
    <xf numFmtId="0" fontId="12" fillId="0" borderId="0" xfId="105" applyFont="1" applyFill="1" applyBorder="1" applyAlignment="1">
      <alignment horizontal="left" vertical="center" wrapText="1"/>
    </xf>
    <xf numFmtId="0" fontId="108" fillId="0" borderId="96" xfId="99" applyFont="1" applyFill="1" applyBorder="1" applyAlignment="1">
      <alignment horizontal="center" vertical="center"/>
    </xf>
    <xf numFmtId="0" fontId="108" fillId="0" borderId="47" xfId="99" applyFont="1" applyFill="1" applyBorder="1" applyAlignment="1">
      <alignment horizontal="center" vertical="center"/>
    </xf>
    <xf numFmtId="0" fontId="108" fillId="0" borderId="97" xfId="99" applyFont="1" applyFill="1" applyBorder="1" applyAlignment="1">
      <alignment horizontal="center" vertical="center"/>
    </xf>
    <xf numFmtId="0" fontId="5" fillId="0" borderId="81" xfId="105" applyFont="1" applyFill="1" applyBorder="1" applyAlignment="1" applyProtection="1">
      <alignment horizontal="center" vertical="center"/>
    </xf>
    <xf numFmtId="0" fontId="5" fillId="0" borderId="83" xfId="105" applyFont="1" applyFill="1" applyBorder="1" applyAlignment="1" applyProtection="1">
      <alignment horizontal="center" vertical="center"/>
    </xf>
    <xf numFmtId="0" fontId="28" fillId="31" borderId="29" xfId="105" applyFont="1" applyFill="1" applyBorder="1" applyAlignment="1" applyProtection="1">
      <alignment horizontal="center" vertical="center"/>
    </xf>
    <xf numFmtId="0" fontId="28" fillId="31" borderId="14" xfId="105" applyFont="1" applyFill="1" applyBorder="1" applyAlignment="1" applyProtection="1">
      <alignment horizontal="center" vertical="center"/>
    </xf>
    <xf numFmtId="0" fontId="28" fillId="31" borderId="44" xfId="105" applyFont="1" applyFill="1" applyBorder="1" applyAlignment="1" applyProtection="1">
      <alignment horizontal="center" vertical="center"/>
    </xf>
    <xf numFmtId="0" fontId="28" fillId="31" borderId="25" xfId="105" applyFont="1" applyFill="1" applyBorder="1" applyAlignment="1" applyProtection="1">
      <alignment horizontal="center" vertical="center"/>
    </xf>
    <xf numFmtId="0" fontId="29" fillId="31" borderId="133" xfId="105" applyFont="1" applyFill="1" applyBorder="1" applyAlignment="1" applyProtection="1">
      <alignment horizontal="center" vertical="center"/>
    </xf>
    <xf numFmtId="0" fontId="29" fillId="31" borderId="52" xfId="105" applyFont="1" applyFill="1" applyBorder="1" applyAlignment="1" applyProtection="1">
      <alignment horizontal="center" vertical="center"/>
    </xf>
    <xf numFmtId="0" fontId="29" fillId="31" borderId="62" xfId="105" applyFont="1" applyFill="1" applyBorder="1" applyAlignment="1" applyProtection="1">
      <alignment horizontal="center" vertical="center"/>
    </xf>
    <xf numFmtId="0" fontId="29" fillId="33" borderId="131" xfId="105" applyFont="1" applyFill="1" applyBorder="1" applyAlignment="1" applyProtection="1">
      <alignment horizontal="center" vertical="center"/>
    </xf>
    <xf numFmtId="0" fontId="29" fillId="33" borderId="82" xfId="105" applyFont="1" applyFill="1" applyBorder="1" applyAlignment="1" applyProtection="1">
      <alignment horizontal="center" vertical="center"/>
    </xf>
    <xf numFmtId="0" fontId="29" fillId="33" borderId="83" xfId="105" applyFont="1" applyFill="1" applyBorder="1" applyAlignment="1" applyProtection="1">
      <alignment horizontal="center" vertical="center"/>
    </xf>
    <xf numFmtId="0" fontId="29" fillId="32" borderId="131" xfId="105" applyFont="1" applyFill="1" applyBorder="1" applyAlignment="1" applyProtection="1">
      <alignment horizontal="center" vertical="center"/>
    </xf>
    <xf numFmtId="0" fontId="29" fillId="32" borderId="82" xfId="105" applyFont="1" applyFill="1" applyBorder="1" applyAlignment="1" applyProtection="1">
      <alignment horizontal="center" vertical="center"/>
    </xf>
    <xf numFmtId="0" fontId="29" fillId="32" borderId="83" xfId="105" applyFont="1" applyFill="1" applyBorder="1" applyAlignment="1" applyProtection="1">
      <alignment horizontal="center" vertical="center"/>
    </xf>
    <xf numFmtId="0" fontId="29" fillId="34" borderId="131" xfId="105" applyFont="1" applyFill="1" applyBorder="1" applyAlignment="1" applyProtection="1">
      <alignment horizontal="center" vertical="center"/>
    </xf>
    <xf numFmtId="0" fontId="29" fillId="34" borderId="82" xfId="105" applyFont="1" applyFill="1" applyBorder="1" applyAlignment="1" applyProtection="1">
      <alignment horizontal="center" vertical="center"/>
    </xf>
    <xf numFmtId="0" fontId="29" fillId="34" borderId="63" xfId="105" applyFont="1" applyFill="1" applyBorder="1" applyAlignment="1" applyProtection="1">
      <alignment horizontal="center" vertical="center"/>
    </xf>
    <xf numFmtId="0" fontId="34" fillId="0" borderId="0" xfId="105" applyFont="1" applyFill="1" applyBorder="1" applyAlignment="1">
      <alignment horizontal="center" vertical="center"/>
    </xf>
    <xf numFmtId="17" fontId="39" fillId="20" borderId="51" xfId="0" quotePrefix="1" applyNumberFormat="1" applyFont="1" applyFill="1" applyBorder="1" applyAlignment="1">
      <alignment horizontal="center"/>
    </xf>
    <xf numFmtId="17" fontId="39" fillId="20" borderId="62" xfId="0" quotePrefix="1" applyNumberFormat="1" applyFont="1" applyFill="1" applyBorder="1" applyAlignment="1">
      <alignment horizontal="center"/>
    </xf>
    <xf numFmtId="17" fontId="39" fillId="20" borderId="52" xfId="0" quotePrefix="1" applyNumberFormat="1" applyFont="1" applyFill="1" applyBorder="1" applyAlignment="1">
      <alignment horizontal="center"/>
    </xf>
    <xf numFmtId="17" fontId="12" fillId="20" borderId="0" xfId="0" quotePrefix="1" applyNumberFormat="1" applyFont="1" applyFill="1" applyBorder="1" applyAlignment="1">
      <alignment horizontal="center"/>
    </xf>
    <xf numFmtId="0" fontId="39" fillId="20" borderId="12" xfId="0" applyFont="1" applyFill="1" applyBorder="1" applyAlignment="1">
      <alignment horizontal="center"/>
    </xf>
    <xf numFmtId="0" fontId="39" fillId="20" borderId="52" xfId="0" applyFont="1" applyFill="1" applyBorder="1" applyAlignment="1">
      <alignment horizontal="center"/>
    </xf>
    <xf numFmtId="0" fontId="39" fillId="20" borderId="6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1" fontId="16" fillId="0" borderId="94" xfId="102" applyNumberFormat="1" applyFont="1" applyFill="1" applyBorder="1" applyAlignment="1">
      <alignment horizontal="center"/>
    </xf>
    <xf numFmtId="171" fontId="16" fillId="0" borderId="80" xfId="102" applyNumberFormat="1" applyFont="1" applyFill="1" applyBorder="1" applyAlignment="1">
      <alignment horizontal="center"/>
    </xf>
    <xf numFmtId="171" fontId="16" fillId="0" borderId="95" xfId="102" applyNumberFormat="1" applyFont="1" applyFill="1" applyBorder="1" applyAlignment="1">
      <alignment horizontal="center"/>
    </xf>
    <xf numFmtId="171" fontId="32" fillId="27" borderId="96" xfId="102" applyNumberFormat="1" applyFont="1" applyFill="1" applyBorder="1" applyAlignment="1">
      <alignment horizontal="center"/>
    </xf>
    <xf numFmtId="171" fontId="32" fillId="27" borderId="47" xfId="102" applyNumberFormat="1" applyFont="1" applyFill="1" applyBorder="1" applyAlignment="1">
      <alignment horizontal="center"/>
    </xf>
    <xf numFmtId="171" fontId="32" fillId="27" borderId="97" xfId="102" applyNumberFormat="1" applyFont="1" applyFill="1" applyBorder="1" applyAlignment="1">
      <alignment horizontal="center"/>
    </xf>
    <xf numFmtId="171" fontId="36" fillId="0" borderId="96" xfId="102" applyNumberFormat="1" applyFont="1" applyFill="1" applyBorder="1" applyAlignment="1">
      <alignment horizontal="center"/>
    </xf>
    <xf numFmtId="171" fontId="36" fillId="0" borderId="47" xfId="102" applyNumberFormat="1" applyFont="1" applyFill="1" applyBorder="1" applyAlignment="1">
      <alignment horizontal="center"/>
    </xf>
    <xf numFmtId="171" fontId="36" fillId="0" borderId="97" xfId="102" applyNumberFormat="1" applyFont="1" applyFill="1" applyBorder="1" applyAlignment="1">
      <alignment horizontal="center"/>
    </xf>
    <xf numFmtId="0" fontId="85" fillId="29" borderId="0" xfId="0" applyFont="1" applyFill="1" applyAlignment="1">
      <alignment horizontal="left" wrapText="1"/>
    </xf>
    <xf numFmtId="0" fontId="85" fillId="29" borderId="0" xfId="0" applyFont="1" applyFill="1" applyAlignment="1">
      <alignment horizontal="center" wrapText="1"/>
    </xf>
    <xf numFmtId="0" fontId="27" fillId="27" borderId="51" xfId="0" applyFont="1" applyFill="1" applyBorder="1" applyAlignment="1">
      <alignment horizontal="center"/>
    </xf>
    <xf numFmtId="0" fontId="27" fillId="27" borderId="62" xfId="0" applyFont="1" applyFill="1" applyBorder="1" applyAlignment="1">
      <alignment horizontal="center"/>
    </xf>
    <xf numFmtId="0" fontId="29" fillId="29" borderId="0" xfId="0" applyFont="1" applyFill="1" applyBorder="1" applyAlignment="1">
      <alignment horizontal="center"/>
    </xf>
    <xf numFmtId="171" fontId="15" fillId="0" borderId="0" xfId="110" applyNumberFormat="1" applyFont="1" applyFill="1" applyAlignment="1">
      <alignment horizontal="center"/>
    </xf>
    <xf numFmtId="171" fontId="32" fillId="0" borderId="94" xfId="110" applyNumberFormat="1" applyFont="1" applyFill="1" applyBorder="1" applyAlignment="1">
      <alignment horizontal="center"/>
    </xf>
    <xf numFmtId="171" fontId="32" fillId="0" borderId="80" xfId="110" applyNumberFormat="1" applyFont="1" applyFill="1" applyBorder="1" applyAlignment="1">
      <alignment horizontal="center"/>
    </xf>
    <xf numFmtId="171" fontId="32" fillId="0" borderId="95" xfId="110" applyNumberFormat="1" applyFont="1" applyFill="1" applyBorder="1" applyAlignment="1">
      <alignment horizontal="center"/>
    </xf>
    <xf numFmtId="171" fontId="30" fillId="0" borderId="15" xfId="110" applyNumberFormat="1" applyFont="1" applyFill="1" applyBorder="1" applyAlignment="1">
      <alignment horizontal="center" vertical="center" wrapText="1"/>
    </xf>
    <xf numFmtId="171" fontId="30" fillId="0" borderId="20" xfId="110" applyNumberFormat="1" applyFont="1" applyFill="1" applyBorder="1" applyAlignment="1">
      <alignment horizontal="center" vertical="center" wrapText="1"/>
    </xf>
    <xf numFmtId="171" fontId="30" fillId="0" borderId="31" xfId="110" applyNumberFormat="1" applyFont="1" applyFill="1" applyBorder="1" applyAlignment="1">
      <alignment horizontal="center" vertical="center" wrapText="1"/>
    </xf>
    <xf numFmtId="171" fontId="30" fillId="0" borderId="28" xfId="11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29" borderId="0" xfId="0" applyFont="1" applyFill="1" applyAlignment="1">
      <alignment horizontal="center"/>
    </xf>
    <xf numFmtId="0" fontId="86" fillId="0" borderId="0" xfId="0" applyFont="1" applyBorder="1" applyAlignment="1">
      <alignment horizontal="left"/>
    </xf>
    <xf numFmtId="0" fontId="29" fillId="29" borderId="51" xfId="0" applyFont="1" applyFill="1" applyBorder="1" applyAlignment="1">
      <alignment horizontal="center"/>
    </xf>
    <xf numFmtId="0" fontId="29" fillId="29" borderId="6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9" fillId="29" borderId="52" xfId="0" applyFont="1" applyFill="1" applyBorder="1" applyAlignment="1">
      <alignment horizontal="center"/>
    </xf>
    <xf numFmtId="0" fontId="12" fillId="0" borderId="9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97" xfId="0" applyFont="1" applyBorder="1" applyAlignment="1">
      <alignment horizontal="left"/>
    </xf>
    <xf numFmtId="0" fontId="12" fillId="26" borderId="96" xfId="0" applyFont="1" applyFill="1" applyBorder="1" applyAlignment="1">
      <alignment horizontal="left"/>
    </xf>
    <xf numFmtId="0" fontId="12" fillId="26" borderId="47" xfId="0" applyFont="1" applyFill="1" applyBorder="1" applyAlignment="1">
      <alignment horizontal="left"/>
    </xf>
    <xf numFmtId="0" fontId="12" fillId="26" borderId="97" xfId="0" applyFont="1" applyFill="1" applyBorder="1" applyAlignment="1">
      <alignment horizontal="left"/>
    </xf>
    <xf numFmtId="0" fontId="93" fillId="20" borderId="0" xfId="106" applyFont="1" applyFill="1" applyBorder="1" applyAlignment="1">
      <alignment horizontal="center" vertical="center"/>
    </xf>
    <xf numFmtId="49" fontId="55" fillId="21" borderId="135" xfId="106" applyNumberFormat="1" applyFont="1" applyFill="1" applyBorder="1" applyAlignment="1">
      <alignment horizontal="center" vertical="center"/>
    </xf>
    <xf numFmtId="49" fontId="55" fillId="21" borderId="136" xfId="106" applyNumberFormat="1" applyFont="1" applyFill="1" applyBorder="1" applyAlignment="1">
      <alignment horizontal="center" vertical="center"/>
    </xf>
    <xf numFmtId="0" fontId="55" fillId="21" borderId="62" xfId="106" applyFont="1" applyFill="1" applyBorder="1" applyAlignment="1">
      <alignment horizontal="center" vertical="center"/>
    </xf>
    <xf numFmtId="0" fontId="55" fillId="21" borderId="63" xfId="106" applyFont="1" applyFill="1" applyBorder="1" applyAlignment="1">
      <alignment horizontal="center" vertical="center"/>
    </xf>
    <xf numFmtId="0" fontId="56" fillId="21" borderId="137" xfId="106" applyFont="1" applyFill="1" applyBorder="1" applyAlignment="1">
      <alignment horizontal="center" vertical="center"/>
    </xf>
    <xf numFmtId="0" fontId="56" fillId="21" borderId="138" xfId="106" applyFont="1" applyFill="1" applyBorder="1" applyAlignment="1">
      <alignment horizontal="center" vertical="center"/>
    </xf>
    <xf numFmtId="4" fontId="56" fillId="21" borderId="132" xfId="106" applyNumberFormat="1" applyFont="1" applyFill="1" applyBorder="1" applyAlignment="1">
      <alignment horizontal="center" vertical="center"/>
    </xf>
    <xf numFmtId="4" fontId="56" fillId="21" borderId="129" xfId="106" applyNumberFormat="1" applyFont="1" applyFill="1" applyBorder="1" applyAlignment="1">
      <alignment horizontal="center" vertical="center"/>
    </xf>
    <xf numFmtId="4" fontId="56" fillId="21" borderId="133" xfId="106" applyNumberFormat="1" applyFont="1" applyFill="1" applyBorder="1" applyAlignment="1">
      <alignment horizontal="center" vertical="center"/>
    </xf>
    <xf numFmtId="4" fontId="56" fillId="21" borderId="131" xfId="106" applyNumberFormat="1" applyFont="1" applyFill="1" applyBorder="1" applyAlignment="1">
      <alignment horizontal="center" vertical="center"/>
    </xf>
    <xf numFmtId="4" fontId="56" fillId="21" borderId="16" xfId="106" applyNumberFormat="1" applyFont="1" applyFill="1" applyBorder="1" applyAlignment="1">
      <alignment horizontal="center" vertical="center" wrapText="1"/>
    </xf>
    <xf numFmtId="4" fontId="56" fillId="21" borderId="56" xfId="106" applyNumberFormat="1" applyFont="1" applyFill="1" applyBorder="1" applyAlignment="1">
      <alignment horizontal="center" vertical="center" wrapText="1"/>
    </xf>
    <xf numFmtId="14" fontId="53" fillId="21" borderId="11" xfId="106" applyNumberFormat="1" applyFont="1" applyFill="1" applyBorder="1" applyAlignment="1">
      <alignment horizontal="center" vertical="center" wrapText="1"/>
    </xf>
    <xf numFmtId="14" fontId="53" fillId="21" borderId="22" xfId="106" applyNumberFormat="1" applyFont="1" applyFill="1" applyBorder="1" applyAlignment="1">
      <alignment horizontal="center" vertical="center" wrapText="1"/>
    </xf>
    <xf numFmtId="17" fontId="53" fillId="21" borderId="15" xfId="106" applyNumberFormat="1" applyFont="1" applyFill="1" applyBorder="1" applyAlignment="1">
      <alignment horizontal="center" vertical="center" wrapText="1"/>
    </xf>
    <xf numFmtId="17" fontId="53" fillId="21" borderId="26" xfId="106" applyNumberFormat="1" applyFont="1" applyFill="1" applyBorder="1" applyAlignment="1">
      <alignment horizontal="center" vertical="center" wrapText="1"/>
    </xf>
    <xf numFmtId="0" fontId="58" fillId="22" borderId="80" xfId="106" applyFont="1" applyFill="1" applyBorder="1" applyAlignment="1">
      <alignment horizontal="center" vertical="center" wrapText="1"/>
    </xf>
  </cellXfs>
  <cellStyles count="129">
    <cellStyle name="Buena 2" xfId="1"/>
    <cellStyle name="Cabecera 1" xfId="2"/>
    <cellStyle name="Cabecera 2" xfId="3"/>
    <cellStyle name="Cálculo 2" xfId="4"/>
    <cellStyle name="Celda de comprobación 2" xfId="5"/>
    <cellStyle name="Celda vinculada 2" xfId="6"/>
    <cellStyle name="DIA" xfId="7"/>
    <cellStyle name="Dia 2" xfId="8"/>
    <cellStyle name="ENCABEZ1" xfId="9"/>
    <cellStyle name="Encabez1 2" xfId="10"/>
    <cellStyle name="ENCABEZ2" xfId="11"/>
    <cellStyle name="Encabez2 2" xfId="12"/>
    <cellStyle name="Encabezado 4 2" xfId="13"/>
    <cellStyle name="Énfasis 1" xfId="14"/>
    <cellStyle name="Énfasis 2" xfId="15"/>
    <cellStyle name="Énfasis 3" xfId="16"/>
    <cellStyle name="Énfasis1 - 20%" xfId="17"/>
    <cellStyle name="Énfasis1 - 40%" xfId="18"/>
    <cellStyle name="Énfasis1 - 60%" xfId="19"/>
    <cellStyle name="Énfasis1 2" xfId="20"/>
    <cellStyle name="Énfasis1 3" xfId="21"/>
    <cellStyle name="Énfasis1 4" xfId="22"/>
    <cellStyle name="Énfasis1 5" xfId="23"/>
    <cellStyle name="Énfasis2 - 20%" xfId="24"/>
    <cellStyle name="Énfasis2 - 40%" xfId="25"/>
    <cellStyle name="Énfasis2 - 60%" xfId="26"/>
    <cellStyle name="Énfasis2 2" xfId="27"/>
    <cellStyle name="Énfasis2 3" xfId="28"/>
    <cellStyle name="Énfasis2 4" xfId="29"/>
    <cellStyle name="Énfasis2 5" xfId="30"/>
    <cellStyle name="Énfasis3 - 20%" xfId="31"/>
    <cellStyle name="Énfasis3 - 40%" xfId="32"/>
    <cellStyle name="Énfasis3 - 60%" xfId="33"/>
    <cellStyle name="Énfasis3 2" xfId="34"/>
    <cellStyle name="Énfasis3 3" xfId="35"/>
    <cellStyle name="Énfasis3 4" xfId="36"/>
    <cellStyle name="Énfasis3 5" xfId="37"/>
    <cellStyle name="Énfasis4 - 20%" xfId="38"/>
    <cellStyle name="Énfasis4 - 40%" xfId="39"/>
    <cellStyle name="Énfasis4 - 60%" xfId="40"/>
    <cellStyle name="Énfasis4 2" xfId="41"/>
    <cellStyle name="Énfasis4 3" xfId="42"/>
    <cellStyle name="Énfasis4 4" xfId="43"/>
    <cellStyle name="Énfasis4 5" xfId="44"/>
    <cellStyle name="Énfasis5 - 20%" xfId="45"/>
    <cellStyle name="Énfasis5 - 40%" xfId="46"/>
    <cellStyle name="Énfasis5 - 60%" xfId="47"/>
    <cellStyle name="Énfasis5 2" xfId="48"/>
    <cellStyle name="Énfasis5 3" xfId="49"/>
    <cellStyle name="Énfasis5 4" xfId="50"/>
    <cellStyle name="Énfasis5 5" xfId="51"/>
    <cellStyle name="Énfasis6 - 20%" xfId="52"/>
    <cellStyle name="Énfasis6 - 40%" xfId="53"/>
    <cellStyle name="Énfasis6 - 60%" xfId="54"/>
    <cellStyle name="Énfasis6 2" xfId="55"/>
    <cellStyle name="Énfasis6 3" xfId="56"/>
    <cellStyle name="Énfasis6 4" xfId="57"/>
    <cellStyle name="Énfasis6 5" xfId="58"/>
    <cellStyle name="Entrada 2" xfId="59"/>
    <cellStyle name="Euro" xfId="60"/>
    <cellStyle name="Euro 2" xfId="61"/>
    <cellStyle name="F2" xfId="62"/>
    <cellStyle name="F2 2" xfId="63"/>
    <cellStyle name="F3" xfId="64"/>
    <cellStyle name="F3 2" xfId="65"/>
    <cellStyle name="F4" xfId="66"/>
    <cellStyle name="F4 2" xfId="67"/>
    <cellStyle name="F5" xfId="68"/>
    <cellStyle name="F5 2" xfId="69"/>
    <cellStyle name="F6" xfId="70"/>
    <cellStyle name="F6 2" xfId="71"/>
    <cellStyle name="F7" xfId="72"/>
    <cellStyle name="F7 2" xfId="73"/>
    <cellStyle name="F8" xfId="74"/>
    <cellStyle name="F8 2" xfId="75"/>
    <cellStyle name="Fecha" xfId="76"/>
    <cellStyle name="FIJO" xfId="77"/>
    <cellStyle name="Fijo 2" xfId="78"/>
    <cellStyle name="FINANCIERO" xfId="79"/>
    <cellStyle name="Financiero 2" xfId="80"/>
    <cellStyle name="Incorrecto 2" xfId="81"/>
    <cellStyle name="Millares" xfId="82" builtinId="3"/>
    <cellStyle name="Millares [0]" xfId="83" builtinId="6"/>
    <cellStyle name="Millares 2" xfId="84"/>
    <cellStyle name="Millares 2 2" xfId="85"/>
    <cellStyle name="Millares 2 3" xfId="86"/>
    <cellStyle name="Millares 3" xfId="87"/>
    <cellStyle name="Millares 3 2" xfId="88"/>
    <cellStyle name="Millares 4" xfId="89"/>
    <cellStyle name="MONETARIO" xfId="90"/>
    <cellStyle name="Monetario 2" xfId="91"/>
    <cellStyle name="Monetario0" xfId="92"/>
    <cellStyle name="Neutral 2" xfId="93"/>
    <cellStyle name="No-definido" xfId="94"/>
    <cellStyle name="Normal" xfId="0" builtinId="0"/>
    <cellStyle name="Normal 10" xfId="95"/>
    <cellStyle name="Normal 14" xfId="96"/>
    <cellStyle name="Normal 2" xfId="97"/>
    <cellStyle name="Normal 2 2" xfId="98"/>
    <cellStyle name="Normal 2 3" xfId="99"/>
    <cellStyle name="Normal 2 4" xfId="100"/>
    <cellStyle name="Normal 2_PRESUPUESTOS TRAMO IV" xfId="101"/>
    <cellStyle name="Normal 3" xfId="102"/>
    <cellStyle name="Normal 3 2" xfId="103"/>
    <cellStyle name="Normal 4" xfId="104"/>
    <cellStyle name="Normal 4 2" xfId="105"/>
    <cellStyle name="Normal 5" xfId="106"/>
    <cellStyle name="Normal 5 2" xfId="107"/>
    <cellStyle name="Normal 6" xfId="108"/>
    <cellStyle name="Normal 7 2" xfId="128"/>
    <cellStyle name="Normal 9" xfId="109"/>
    <cellStyle name="Normal_ded-mat" xfId="110"/>
    <cellStyle name="Notas 2" xfId="111"/>
    <cellStyle name="Porcentaje" xfId="112" builtinId="5"/>
    <cellStyle name="Porcentaje 3" xfId="113"/>
    <cellStyle name="Porcentaje 6" xfId="114"/>
    <cellStyle name="Porcentual 2" xfId="115"/>
    <cellStyle name="Porcentual 2 2" xfId="116"/>
    <cellStyle name="Porcentual 2 3" xfId="117"/>
    <cellStyle name="Porcentual 3" xfId="118"/>
    <cellStyle name="Punto0" xfId="119"/>
    <cellStyle name="Salida 2" xfId="120"/>
    <cellStyle name="Texto de advertencia 2" xfId="121"/>
    <cellStyle name="Título 1 2" xfId="122"/>
    <cellStyle name="Título 2 2" xfId="123"/>
    <cellStyle name="Título 3 2" xfId="124"/>
    <cellStyle name="Título de hoja" xfId="125"/>
    <cellStyle name="Total" xfId="126" builtinId="25" customBuiltin="1"/>
    <cellStyle name="Total 2" xfId="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41081736103259"/>
          <c:y val="7.035837459720741E-2"/>
          <c:w val="0.82240811153358873"/>
          <c:h val="0.76186380631201345"/>
        </c:manualLayout>
      </c:layout>
      <c:lineChart>
        <c:grouping val="standard"/>
        <c:varyColors val="0"/>
        <c:ser>
          <c:idx val="0"/>
          <c:order val="0"/>
          <c:tx>
            <c:strRef>
              <c:f>'ESTADO FINANC'!$C$10</c:f>
              <c:strCache>
                <c:ptCount val="1"/>
                <c:pt idx="0">
                  <c:v>Programado</c:v>
                </c:pt>
              </c:strCache>
            </c:strRef>
          </c:tx>
          <c:dLbls>
            <c:dLbl>
              <c:idx val="1"/>
              <c:layout>
                <c:manualLayout>
                  <c:x val="1.2773923933992201E-2"/>
                  <c:y val="2.01774225298855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FB-4786-BA52-FDDCA8F192EF}"/>
                </c:ext>
              </c:extLst>
            </c:dLbl>
            <c:dLbl>
              <c:idx val="2"/>
              <c:layout>
                <c:manualLayout>
                  <c:x val="2.4343765977436716E-3"/>
                  <c:y val="1.7755352911935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FB-4786-BA52-FDDCA8F192EF}"/>
                </c:ext>
              </c:extLst>
            </c:dLbl>
            <c:dLbl>
              <c:idx val="3"/>
              <c:layout>
                <c:manualLayout>
                  <c:x val="-3.2265586550622158E-2"/>
                  <c:y val="3.574119366501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FB-4786-BA52-FDDCA8F192EF}"/>
                </c:ext>
              </c:extLst>
            </c:dLbl>
            <c:dLbl>
              <c:idx val="4"/>
              <c:layout>
                <c:manualLayout>
                  <c:x val="-2.6843717308689983E-2"/>
                  <c:y val="3.7989423759154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FB-4786-BA52-FDDCA8F192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FINANC'!$B$12:$B$16</c:f>
              <c:strCache>
                <c:ptCount val="5"/>
                <c:pt idx="0">
                  <c:v>INICIO</c:v>
                </c:pt>
                <c:pt idx="1">
                  <c:v>7 al 15 DE ENERO</c:v>
                </c:pt>
                <c:pt idx="2">
                  <c:v>16 al 31 DE ENERO</c:v>
                </c:pt>
                <c:pt idx="3">
                  <c:v>1 al 15 de FEBRERO</c:v>
                </c:pt>
                <c:pt idx="4">
                  <c:v>21 al 23 DE JULIO</c:v>
                </c:pt>
              </c:strCache>
            </c:strRef>
          </c:cat>
          <c:val>
            <c:numRef>
              <c:f>'ESTADO FINANC'!$C$12:$C$16</c:f>
              <c:numCache>
                <c:formatCode>#,##0.00</c:formatCode>
                <c:ptCount val="5"/>
                <c:pt idx="0" formatCode="0.00">
                  <c:v>0</c:v>
                </c:pt>
                <c:pt idx="1">
                  <c:v>7500.26</c:v>
                </c:pt>
                <c:pt idx="2">
                  <c:v>56374.04</c:v>
                </c:pt>
                <c:pt idx="3">
                  <c:v>85176.73</c:v>
                </c:pt>
                <c:pt idx="4">
                  <c:v>44773.43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2D-47EC-A912-1B50BB9AC29D}"/>
            </c:ext>
          </c:extLst>
        </c:ser>
        <c:ser>
          <c:idx val="1"/>
          <c:order val="1"/>
          <c:tx>
            <c:strRef>
              <c:f>'ESTADO FINANC'!$F$10</c:f>
              <c:strCache>
                <c:ptCount val="1"/>
                <c:pt idx="0">
                  <c:v>Físico Ejecutado</c:v>
                </c:pt>
              </c:strCache>
            </c:strRef>
          </c:tx>
          <c:dLbls>
            <c:dLbl>
              <c:idx val="1"/>
              <c:layout>
                <c:manualLayout>
                  <c:x val="-5.517840596702752E-2"/>
                  <c:y val="-4.0698629535583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FB-4786-BA52-FDDCA8F192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FINANC'!$B$12:$B$16</c:f>
              <c:strCache>
                <c:ptCount val="5"/>
                <c:pt idx="0">
                  <c:v>INICIO</c:v>
                </c:pt>
                <c:pt idx="1">
                  <c:v>7 al 15 DE ENERO</c:v>
                </c:pt>
                <c:pt idx="2">
                  <c:v>16 al 31 DE ENERO</c:v>
                </c:pt>
                <c:pt idx="3">
                  <c:v>1 al 15 de FEBRERO</c:v>
                </c:pt>
                <c:pt idx="4">
                  <c:v>21 al 23 DE JULIO</c:v>
                </c:pt>
              </c:strCache>
            </c:strRef>
          </c:cat>
          <c:val>
            <c:numRef>
              <c:f>'ESTADO FINANC'!$F$12:$F$16</c:f>
              <c:numCache>
                <c:formatCode>_-* #,##0.00\ _€_-;\-* #,##0.00\ _€_-;_-* "-"??\ _€_-;_-@_-</c:formatCode>
                <c:ptCount val="5"/>
                <c:pt idx="0" formatCode="#,##0.00">
                  <c:v>0</c:v>
                </c:pt>
                <c:pt idx="1">
                  <c:v>11566.9</c:v>
                </c:pt>
                <c:pt idx="2" formatCode="#,##0.00">
                  <c:v>80120.100000000006</c:v>
                </c:pt>
                <c:pt idx="3" formatCode="#,##0.00">
                  <c:v>20898.759999999998</c:v>
                </c:pt>
                <c:pt idx="4" formatCode="#,##0.00">
                  <c:v>81238.694768275876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2D-47EC-A912-1B50BB9AC29D}"/>
            </c:ext>
          </c:extLst>
        </c:ser>
        <c:ser>
          <c:idx val="2"/>
          <c:order val="2"/>
          <c:tx>
            <c:strRef>
              <c:f>'ESTADO FINANC'!$I$10</c:f>
              <c:strCache>
                <c:ptCount val="1"/>
                <c:pt idx="0">
                  <c:v>Financiero Ejecutado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FINANC'!$B$12:$B$16</c:f>
              <c:strCache>
                <c:ptCount val="5"/>
                <c:pt idx="0">
                  <c:v>INICIO</c:v>
                </c:pt>
                <c:pt idx="1">
                  <c:v>7 al 15 DE ENERO</c:v>
                </c:pt>
                <c:pt idx="2">
                  <c:v>16 al 31 DE ENERO</c:v>
                </c:pt>
                <c:pt idx="3">
                  <c:v>1 al 15 de FEBRERO</c:v>
                </c:pt>
                <c:pt idx="4">
                  <c:v>21 al 23 DE JULIO</c:v>
                </c:pt>
              </c:strCache>
            </c:strRef>
          </c:cat>
          <c:val>
            <c:numRef>
              <c:f>'ESTADO FINANC'!$I$12:$I$13</c:f>
              <c:numCache>
                <c:formatCode>#,##0.00</c:formatCode>
                <c:ptCount val="2"/>
                <c:pt idx="0" formatCode="0.0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2D-47EC-A912-1B50BB9AC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89056"/>
        <c:axId val="152590592"/>
      </c:lineChart>
      <c:catAx>
        <c:axId val="1525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2590592"/>
        <c:crosses val="autoZero"/>
        <c:auto val="1"/>
        <c:lblAlgn val="ctr"/>
        <c:lblOffset val="100"/>
        <c:tickMarkSkip val="1"/>
        <c:noMultiLvlLbl val="0"/>
      </c:catAx>
      <c:valAx>
        <c:axId val="152590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AVANCES ACUMULADOS  S./</a:t>
                </a:r>
              </a:p>
            </c:rich>
          </c:tx>
          <c:layout>
            <c:manualLayout>
              <c:xMode val="edge"/>
              <c:yMode val="edge"/>
              <c:x val="4.015961162749393E-2"/>
              <c:y val="0.2104926464285276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25890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dTable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0"/>
    <c:dispBlanksAs val="zero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12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12700">
      <a:solidFill>
        <a:schemeClr val="accent3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346" l="0.70866141732283616" r="0.70866141732283616" t="0.74803149606299346" header="0.31496062992126111" footer="0.3149606299212611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54352</xdr:colOff>
      <xdr:row>17</xdr:row>
      <xdr:rowOff>88525</xdr:rowOff>
    </xdr:from>
    <xdr:to>
      <xdr:col>11</xdr:col>
      <xdr:colOff>44827</xdr:colOff>
      <xdr:row>53</xdr:row>
      <xdr:rowOff>89648</xdr:rowOff>
    </xdr:to>
    <xdr:graphicFrame macro="">
      <xdr:nvGraphicFramePr>
        <xdr:cNvPr id="4104705" name="18 Gráfico">
          <a:extLst>
            <a:ext uri="{FF2B5EF4-FFF2-40B4-BE49-F238E27FC236}">
              <a16:creationId xmlns:a16="http://schemas.microsoft.com/office/drawing/2014/main" id="{016A468A-CF61-4666-A1B5-499239AAF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876300</xdr:colOff>
      <xdr:row>0</xdr:row>
      <xdr:rowOff>95250</xdr:rowOff>
    </xdr:from>
    <xdr:to>
      <xdr:col>30</xdr:col>
      <xdr:colOff>390525</xdr:colOff>
      <xdr:row>5</xdr:row>
      <xdr:rowOff>57150</xdr:rowOff>
    </xdr:to>
    <xdr:pic>
      <xdr:nvPicPr>
        <xdr:cNvPr id="3313514" name="1 Imagen" descr="H:\Sin+títul...png">
          <a:extLst>
            <a:ext uri="{FF2B5EF4-FFF2-40B4-BE49-F238E27FC236}">
              <a16:creationId xmlns:a16="http://schemas.microsoft.com/office/drawing/2014/main" id="{9345518A-7872-4B44-975C-30BE35BE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975" y="95250"/>
          <a:ext cx="2457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gelo\c\DEP\27pse-OECF-II\SPres-resumen\Pr-21\RpC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6.-VALORIZACION%20DICIEMBRE%202013/OBRA%20YUNGUYO-COPANI/EXPEDIENTE%20TECNICO/valorizacion%20mes%20julio%20yunguyo%20copani/WINDOWS/TEMP/VALORIZACI&#211;N%20N&#186;%2001%20macari-chiqui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PLIACIONES%20DE%20PLAZO%20PUMAMAYO/OBRA%20YUNGUYO-COPANI/EXPEDIENTE%20TECNICO/valorizacion%20mes%20julio%20yunguyo%20copani/WINDOWS/TEMP/VALORIZACI&#211;N%20N&#186;%2001%20macari-chiqui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gelo\c\PSE%20OCANA-OTOCA\METRADOS\Presupuesto%20Red%20Secundar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emitidos%20a%20san%20gaban/ING.MAGOG/AREQUIPA/CONFORMACION%20FRANJAS%20LATERALES/ING.MIRANDA/AYACUCHO/AD074-98-METRA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ALORIZACION%20JULIO%20IE%20105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-op-cartel"/>
      <sheetName val="Uni-Arm"/>
      <sheetName val="Unit-ret"/>
      <sheetName val="Unit-conduct"/>
      <sheetName val="Unit-patoral"/>
      <sheetName val="Unit-tierra"/>
      <sheetName val="Unit-acom"/>
      <sheetName val="Unt-prueb"/>
      <sheetName val="#¡REF"/>
      <sheetName val="PSEs-97RP"/>
      <sheetName val="RP-RESUMEN"/>
      <sheetName val="RP-BASE"/>
      <sheetName val="RP-sumMEM"/>
      <sheetName val="RP-sumCon"/>
      <sheetName val="RP-mont"/>
      <sheetName val="RP-transMEM"/>
      <sheetName val="RP-transCon"/>
      <sheetName val="RpC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ari-chuqui"/>
      <sheetName val="Resumen"/>
      <sheetName val="RESUMEN VAL"/>
      <sheetName val="CUADRO VAL"/>
      <sheetName val="Resumen Gener."/>
      <sheetName val="Reajustes"/>
      <sheetName val="CUADRO VAL (2)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PROVIAS RURAL</v>
          </cell>
          <cell r="I5" t="str">
            <v xml:space="preserve">    FORMULA </v>
          </cell>
        </row>
        <row r="6">
          <cell r="I6" t="str">
            <v>POLINOMICA</v>
          </cell>
        </row>
        <row r="8">
          <cell r="C8" t="str">
            <v>OBRA :</v>
          </cell>
          <cell r="D8" t="str">
            <v xml:space="preserve"> Rehabilitación del Camino Vecinal Chuquibambilla-Pte Cupi-LLalli</v>
          </cell>
          <cell r="I8" t="str">
            <v>Mes Base - Junio 2003</v>
          </cell>
        </row>
        <row r="9">
          <cell r="D9" t="str">
            <v>Departamento de Puno</v>
          </cell>
          <cell r="I9" t="str">
            <v>Area Geográfica 6</v>
          </cell>
        </row>
        <row r="10">
          <cell r="C10" t="str">
            <v>Contrato</v>
          </cell>
          <cell r="D10" t="str">
            <v>834-2003-MTC/21</v>
          </cell>
        </row>
        <row r="13">
          <cell r="C13" t="str">
            <v>K = 0.066(Jr/Jo)+0.079(Cr/Co9+0.037(Ar/Ao)+0.26(Enr/ENo9)+0.434(Eir/Eio)+0.124(GGUr/GGUo)</v>
          </cell>
        </row>
        <row r="15">
          <cell r="G15" t="str">
            <v xml:space="preserve">       INDICE</v>
          </cell>
        </row>
        <row r="16">
          <cell r="C16" t="str">
            <v>CODIGO</v>
          </cell>
          <cell r="D16" t="str">
            <v>DESCRIPCION</v>
          </cell>
          <cell r="E16" t="str">
            <v>NOMENC.</v>
          </cell>
          <cell r="F16" t="str">
            <v>INCID.</v>
          </cell>
          <cell r="I16" t="str">
            <v>COEFIC.</v>
          </cell>
          <cell r="J16" t="str">
            <v>PARCIAL</v>
          </cell>
          <cell r="K16" t="str">
            <v>K</v>
          </cell>
        </row>
        <row r="17">
          <cell r="G17" t="str">
            <v>AGO. 03</v>
          </cell>
          <cell r="H17" t="str">
            <v>NOV.03</v>
          </cell>
        </row>
        <row r="19">
          <cell r="C19" t="str">
            <v>47</v>
          </cell>
          <cell r="D19" t="str">
            <v>MANO DE OBRA</v>
          </cell>
          <cell r="E19" t="str">
            <v>J</v>
          </cell>
          <cell r="F19">
            <v>100</v>
          </cell>
          <cell r="G19">
            <v>292.52999999999997</v>
          </cell>
          <cell r="H19">
            <v>309.81</v>
          </cell>
          <cell r="I19">
            <v>6.6000000000000003E-2</v>
          </cell>
          <cell r="J19">
            <v>7.0000000000000007E-2</v>
          </cell>
          <cell r="K19">
            <v>7.0000000000000007E-2</v>
          </cell>
        </row>
        <row r="21">
          <cell r="C21">
            <v>21</v>
          </cell>
          <cell r="D21" t="str">
            <v>CEMENTO PORTLAND TIPO I</v>
          </cell>
          <cell r="E21" t="str">
            <v>C</v>
          </cell>
          <cell r="F21">
            <v>77.22</v>
          </cell>
          <cell r="G21">
            <v>375.29</v>
          </cell>
          <cell r="H21">
            <v>375.29</v>
          </cell>
          <cell r="I21">
            <v>7.9000000000000001E-2</v>
          </cell>
          <cell r="J21">
            <v>6.0999999999999999E-2</v>
          </cell>
        </row>
        <row r="22">
          <cell r="C22">
            <v>45</v>
          </cell>
          <cell r="D22" t="str">
            <v>MADERA TERCIADA PARA ENCOFRADO</v>
          </cell>
          <cell r="F22">
            <v>22.78</v>
          </cell>
          <cell r="G22">
            <v>247.38</v>
          </cell>
          <cell r="H22">
            <v>246.56</v>
          </cell>
          <cell r="J22">
            <v>1.7999999999999999E-2</v>
          </cell>
          <cell r="K22">
            <v>7.9000000000000001E-2</v>
          </cell>
        </row>
        <row r="24">
          <cell r="C24" t="str">
            <v>02</v>
          </cell>
          <cell r="D24" t="str">
            <v>ACERO DE CONSTRUCCION LISO</v>
          </cell>
          <cell r="E24" t="str">
            <v>A</v>
          </cell>
          <cell r="F24">
            <v>91.89</v>
          </cell>
          <cell r="G24">
            <v>279.39</v>
          </cell>
          <cell r="H24">
            <v>279.14999999999998</v>
          </cell>
          <cell r="I24">
            <v>3.6999999999999998E-2</v>
          </cell>
          <cell r="J24">
            <v>3.4000000000000002E-2</v>
          </cell>
        </row>
        <row r="25">
          <cell r="C25">
            <v>37</v>
          </cell>
          <cell r="D25" t="str">
            <v>HERRAMIENTA MANUAL</v>
          </cell>
          <cell r="F25">
            <v>5.41</v>
          </cell>
          <cell r="G25">
            <v>234.97</v>
          </cell>
          <cell r="H25">
            <v>234.36</v>
          </cell>
          <cell r="J25">
            <v>2E-3</v>
          </cell>
        </row>
        <row r="26">
          <cell r="C26">
            <v>54</v>
          </cell>
          <cell r="D26" t="str">
            <v>PINTURA LATEX</v>
          </cell>
          <cell r="F26">
            <v>2.7</v>
          </cell>
          <cell r="G26">
            <v>319.18</v>
          </cell>
          <cell r="H26">
            <v>319.07</v>
          </cell>
          <cell r="J26">
            <v>1E-3</v>
          </cell>
          <cell r="K26">
            <v>3.7000000000000005E-2</v>
          </cell>
        </row>
        <row r="28">
          <cell r="C28">
            <v>48</v>
          </cell>
          <cell r="D28" t="str">
            <v>MAQUINARIA Y EQUIPO  NACIONAL</v>
          </cell>
          <cell r="E28" t="str">
            <v>EN</v>
          </cell>
          <cell r="F28">
            <v>100</v>
          </cell>
          <cell r="G28">
            <v>302.56</v>
          </cell>
          <cell r="H28">
            <v>301.64999999999998</v>
          </cell>
          <cell r="I28">
            <v>0.26</v>
          </cell>
          <cell r="J28">
            <v>0.25900000000000001</v>
          </cell>
          <cell r="K28">
            <v>0.25900000000000001</v>
          </cell>
        </row>
        <row r="30">
          <cell r="C30">
            <v>49</v>
          </cell>
          <cell r="D30" t="str">
            <v>MAQUINARIA Y EQUIPO  IMPORTADO</v>
          </cell>
          <cell r="E30" t="str">
            <v>EI</v>
          </cell>
          <cell r="F30">
            <v>100</v>
          </cell>
          <cell r="G30">
            <v>278.75</v>
          </cell>
          <cell r="H30">
            <v>377.37</v>
          </cell>
          <cell r="I30">
            <v>0.434</v>
          </cell>
          <cell r="J30">
            <v>0.58799999999999997</v>
          </cell>
          <cell r="K30">
            <v>0.58799999999999997</v>
          </cell>
        </row>
        <row r="32">
          <cell r="C32" t="str">
            <v>39</v>
          </cell>
          <cell r="D32" t="str">
            <v>INDICE GENERAL DE PRECIOS CONSUMIDOR</v>
          </cell>
          <cell r="E32" t="str">
            <v>GGU</v>
          </cell>
          <cell r="F32">
            <v>100</v>
          </cell>
          <cell r="G32">
            <v>290.49</v>
          </cell>
          <cell r="H32">
            <v>292.74</v>
          </cell>
          <cell r="I32">
            <v>0.124</v>
          </cell>
          <cell r="J32">
            <v>0.125</v>
          </cell>
          <cell r="K32">
            <v>0.125</v>
          </cell>
        </row>
        <row r="34">
          <cell r="D34" t="str">
            <v>K</v>
          </cell>
          <cell r="K34">
            <v>1.1579999999999999</v>
          </cell>
        </row>
        <row r="41">
          <cell r="M41" t="str">
            <v>OBRA :</v>
          </cell>
          <cell r="N41" t="str">
            <v xml:space="preserve"> Rehabilitación del Caminos Vecinal : Acceso a Cupi</v>
          </cell>
          <cell r="S41" t="str">
            <v>Mes Base - Junio 2003</v>
          </cell>
        </row>
        <row r="42">
          <cell r="N42" t="str">
            <v>Departamento de Puno</v>
          </cell>
          <cell r="S42" t="str">
            <v>Area Geográfica 6</v>
          </cell>
        </row>
        <row r="43">
          <cell r="M43" t="str">
            <v>Contrato</v>
          </cell>
          <cell r="N43" t="str">
            <v>834-2003-MTC/21</v>
          </cell>
        </row>
        <row r="46">
          <cell r="M46" t="str">
            <v xml:space="preserve">             K = 0.067Jr/Jo + 0.107 CAMr/CAMo + 0.253 ENr/ENo + 0.460 EIr/EIo + 0.113 GGUr/GGUo</v>
          </cell>
        </row>
        <row r="48">
          <cell r="Q48" t="str">
            <v xml:space="preserve">       INDICE</v>
          </cell>
        </row>
        <row r="49">
          <cell r="M49" t="str">
            <v>CODIGO</v>
          </cell>
          <cell r="N49" t="str">
            <v>DESCRIPCION</v>
          </cell>
          <cell r="O49" t="str">
            <v>NOMENC.</v>
          </cell>
          <cell r="P49" t="str">
            <v>INCID.</v>
          </cell>
          <cell r="S49" t="str">
            <v>COEFIC.</v>
          </cell>
          <cell r="T49" t="str">
            <v>PARCIAL</v>
          </cell>
          <cell r="U49" t="str">
            <v>K</v>
          </cell>
        </row>
        <row r="50">
          <cell r="Q50" t="str">
            <v>AGO. 03</v>
          </cell>
          <cell r="R50" t="str">
            <v>NOV.03</v>
          </cell>
        </row>
        <row r="52">
          <cell r="M52" t="str">
            <v>47</v>
          </cell>
          <cell r="N52" t="str">
            <v>MANO DE OBRA</v>
          </cell>
          <cell r="O52" t="str">
            <v>J</v>
          </cell>
          <cell r="P52">
            <v>100</v>
          </cell>
          <cell r="Q52">
            <v>292.52999999999997</v>
          </cell>
          <cell r="R52">
            <v>309.81</v>
          </cell>
          <cell r="S52">
            <v>6.7000000000000004E-2</v>
          </cell>
          <cell r="T52">
            <v>7.0999999999999994E-2</v>
          </cell>
          <cell r="U52">
            <v>7.0999999999999994E-2</v>
          </cell>
        </row>
        <row r="54">
          <cell r="M54" t="str">
            <v>02</v>
          </cell>
          <cell r="N54" t="str">
            <v>ACERO DE CONSTRUCCION LISO</v>
          </cell>
          <cell r="O54" t="str">
            <v>CAM</v>
          </cell>
          <cell r="P54">
            <v>21.5</v>
          </cell>
          <cell r="Q54">
            <v>279.39</v>
          </cell>
          <cell r="R54">
            <v>279.14999999999998</v>
          </cell>
          <cell r="S54">
            <v>0.107</v>
          </cell>
          <cell r="T54">
            <v>2.3E-2</v>
          </cell>
        </row>
        <row r="55">
          <cell r="M55">
            <v>21</v>
          </cell>
          <cell r="N55" t="str">
            <v>CEMENTO PORTLAND TIPO I</v>
          </cell>
          <cell r="P55">
            <v>61.68</v>
          </cell>
          <cell r="Q55">
            <v>356.58</v>
          </cell>
          <cell r="R55">
            <v>375.29</v>
          </cell>
          <cell r="T55">
            <v>6.9000000000000006E-2</v>
          </cell>
        </row>
        <row r="56">
          <cell r="M56">
            <v>45</v>
          </cell>
          <cell r="N56" t="str">
            <v>MADERA TERCIADA PARA ENCOFRADO</v>
          </cell>
          <cell r="P56">
            <v>16.82</v>
          </cell>
          <cell r="Q56">
            <v>247.38</v>
          </cell>
          <cell r="R56">
            <v>246.56</v>
          </cell>
          <cell r="T56">
            <v>1.7999999999999999E-2</v>
          </cell>
          <cell r="U56">
            <v>0.11</v>
          </cell>
        </row>
        <row r="58">
          <cell r="M58">
            <v>48</v>
          </cell>
          <cell r="N58" t="str">
            <v>MAQUINARIA Y EQUIPO NACIONAL</v>
          </cell>
          <cell r="O58" t="str">
            <v>EN</v>
          </cell>
          <cell r="P58">
            <v>100</v>
          </cell>
          <cell r="Q58">
            <v>302.56</v>
          </cell>
          <cell r="R58">
            <v>301.64999999999998</v>
          </cell>
          <cell r="S58">
            <v>0.253</v>
          </cell>
          <cell r="T58">
            <v>0.252</v>
          </cell>
          <cell r="U58">
            <v>0.252</v>
          </cell>
        </row>
        <row r="60">
          <cell r="M60">
            <v>49</v>
          </cell>
          <cell r="N60" t="str">
            <v>MAQUINARIA Y EQUIPO  IMPORTADO</v>
          </cell>
          <cell r="O60" t="str">
            <v>EI</v>
          </cell>
          <cell r="P60">
            <v>100</v>
          </cell>
          <cell r="Q60">
            <v>278.75</v>
          </cell>
          <cell r="R60">
            <v>377.37</v>
          </cell>
          <cell r="S60">
            <v>0.46</v>
          </cell>
          <cell r="T60">
            <v>0.623</v>
          </cell>
          <cell r="U60">
            <v>0.623</v>
          </cell>
        </row>
        <row r="62">
          <cell r="M62" t="str">
            <v>39</v>
          </cell>
          <cell r="N62" t="str">
            <v>INDICE GENERAL DE PRECIOS CONSUMIDOR</v>
          </cell>
          <cell r="O62" t="str">
            <v>GGU</v>
          </cell>
          <cell r="P62">
            <v>100</v>
          </cell>
          <cell r="Q62">
            <v>290.49</v>
          </cell>
          <cell r="R62">
            <v>292.74</v>
          </cell>
          <cell r="S62">
            <v>0.113</v>
          </cell>
          <cell r="T62">
            <v>0.114</v>
          </cell>
          <cell r="U62">
            <v>0.114</v>
          </cell>
        </row>
        <row r="64">
          <cell r="N64" t="str">
            <v>K</v>
          </cell>
          <cell r="U64">
            <v>1.1700000000000002</v>
          </cell>
        </row>
        <row r="69">
          <cell r="N69" t="str">
            <v>PROVIAS RURAL</v>
          </cell>
          <cell r="S69" t="str">
            <v xml:space="preserve">    FORMULA </v>
          </cell>
        </row>
        <row r="70">
          <cell r="S70" t="str">
            <v>POLINOMICA</v>
          </cell>
        </row>
        <row r="72">
          <cell r="M72" t="str">
            <v>OBRA :</v>
          </cell>
          <cell r="N72" t="str">
            <v xml:space="preserve"> Rehabilitación del Caminos Vecinal : Acceso Chuquibambilla - Huamanruro</v>
          </cell>
          <cell r="S72" t="str">
            <v>Mes Base - Junio 2003</v>
          </cell>
        </row>
        <row r="73">
          <cell r="N73" t="str">
            <v>Departamento de Puno</v>
          </cell>
          <cell r="S73" t="str">
            <v>Area Geográfica 6</v>
          </cell>
        </row>
        <row r="74">
          <cell r="M74" t="str">
            <v>Contrato</v>
          </cell>
          <cell r="N74" t="str">
            <v>834-2003-MTC/21</v>
          </cell>
        </row>
        <row r="77">
          <cell r="M77" t="str">
            <v xml:space="preserve">             K = 0.071Jr/Jo + 0.127 CAMr/CAMo + 0.253 ENr/ENo + 0.435 EIr/EIo + 0.114 GGUr/GGUo</v>
          </cell>
        </row>
        <row r="79">
          <cell r="Q79" t="str">
            <v xml:space="preserve">       INDICE</v>
          </cell>
        </row>
        <row r="80">
          <cell r="M80" t="str">
            <v>CODIGO</v>
          </cell>
          <cell r="N80" t="str">
            <v>DESCRIPCION</v>
          </cell>
          <cell r="O80" t="str">
            <v>NOMENC.</v>
          </cell>
          <cell r="P80" t="str">
            <v>INCID.</v>
          </cell>
          <cell r="S80" t="str">
            <v>COEFIC.</v>
          </cell>
          <cell r="T80" t="str">
            <v>PARCIAL</v>
          </cell>
          <cell r="U80" t="str">
            <v>K</v>
          </cell>
        </row>
        <row r="81">
          <cell r="Q81" t="str">
            <v>AGO. 03</v>
          </cell>
          <cell r="R81" t="str">
            <v>NOV.03</v>
          </cell>
        </row>
        <row r="83">
          <cell r="M83" t="str">
            <v>47</v>
          </cell>
          <cell r="N83" t="str">
            <v>MANO DE OBRA</v>
          </cell>
          <cell r="O83" t="str">
            <v>J</v>
          </cell>
          <cell r="P83">
            <v>100</v>
          </cell>
          <cell r="Q83">
            <v>292.52999999999997</v>
          </cell>
          <cell r="R83">
            <v>309.81</v>
          </cell>
          <cell r="S83">
            <v>7.0999999999999994E-2</v>
          </cell>
          <cell r="T83">
            <v>7.4999999999999997E-2</v>
          </cell>
          <cell r="U83">
            <v>7.4999999999999997E-2</v>
          </cell>
        </row>
        <row r="85">
          <cell r="M85" t="str">
            <v>02</v>
          </cell>
          <cell r="N85" t="str">
            <v>ACERO DE CONSTRUCCION LISO</v>
          </cell>
          <cell r="O85" t="str">
            <v>CAM</v>
          </cell>
          <cell r="P85">
            <v>20.47</v>
          </cell>
          <cell r="Q85">
            <v>279.39</v>
          </cell>
          <cell r="R85">
            <v>279.14999999999998</v>
          </cell>
          <cell r="S85">
            <v>0.127</v>
          </cell>
          <cell r="T85">
            <v>2.5999999999999999E-2</v>
          </cell>
        </row>
        <row r="86">
          <cell r="M86">
            <v>21</v>
          </cell>
          <cell r="N86" t="str">
            <v>CEMENTO PORTLAND TIPO I</v>
          </cell>
          <cell r="P86">
            <v>63.78</v>
          </cell>
          <cell r="Q86">
            <v>356.58</v>
          </cell>
          <cell r="R86">
            <v>375.29</v>
          </cell>
          <cell r="T86">
            <v>8.5000000000000006E-2</v>
          </cell>
        </row>
        <row r="87">
          <cell r="M87">
            <v>45</v>
          </cell>
          <cell r="N87" t="str">
            <v>MADERA TERCIADA PARA ENCOFRADO</v>
          </cell>
          <cell r="P87">
            <v>15.75</v>
          </cell>
          <cell r="Q87">
            <v>247.38</v>
          </cell>
          <cell r="R87">
            <v>246.56</v>
          </cell>
          <cell r="T87">
            <v>0.02</v>
          </cell>
          <cell r="U87">
            <v>0.13100000000000001</v>
          </cell>
        </row>
        <row r="89">
          <cell r="M89">
            <v>48</v>
          </cell>
          <cell r="N89" t="str">
            <v>MAQUINARIA Y EQUIPO NACIONAL</v>
          </cell>
          <cell r="O89" t="str">
            <v>EN</v>
          </cell>
          <cell r="P89">
            <v>100</v>
          </cell>
          <cell r="Q89">
            <v>302.56</v>
          </cell>
          <cell r="R89">
            <v>301.64999999999998</v>
          </cell>
          <cell r="S89">
            <v>0.253</v>
          </cell>
          <cell r="T89">
            <v>0.252</v>
          </cell>
          <cell r="U89">
            <v>0.252</v>
          </cell>
        </row>
        <row r="91">
          <cell r="M91">
            <v>49</v>
          </cell>
          <cell r="N91" t="str">
            <v>MAQUINARIA Y EQUIPO  IMPORTADO</v>
          </cell>
          <cell r="O91" t="str">
            <v>EI</v>
          </cell>
          <cell r="P91">
            <v>100</v>
          </cell>
          <cell r="Q91">
            <v>278.75</v>
          </cell>
          <cell r="R91">
            <v>377.37</v>
          </cell>
          <cell r="S91">
            <v>0.435</v>
          </cell>
          <cell r="T91">
            <v>0.58899999999999997</v>
          </cell>
          <cell r="U91">
            <v>0.58899999999999997</v>
          </cell>
        </row>
        <row r="93">
          <cell r="M93" t="str">
            <v>39</v>
          </cell>
          <cell r="N93" t="str">
            <v>INDICE GENERAL DE PRECIOS CONSUMIDOR</v>
          </cell>
          <cell r="O93" t="str">
            <v>GGU</v>
          </cell>
          <cell r="P93">
            <v>100</v>
          </cell>
          <cell r="Q93">
            <v>290.49</v>
          </cell>
          <cell r="R93">
            <v>292.74</v>
          </cell>
          <cell r="S93">
            <v>0.114</v>
          </cell>
          <cell r="T93">
            <v>0.115</v>
          </cell>
          <cell r="U93">
            <v>0.115</v>
          </cell>
        </row>
        <row r="95">
          <cell r="N95" t="str">
            <v>K</v>
          </cell>
          <cell r="U95">
            <v>1.1619999999999999</v>
          </cell>
        </row>
        <row r="99">
          <cell r="N99" t="str">
            <v>PROVIAS RURAL</v>
          </cell>
          <cell r="S99" t="str">
            <v xml:space="preserve">    FORMULA </v>
          </cell>
        </row>
        <row r="134">
          <cell r="W134" t="str">
            <v>PROVIAS RURAL</v>
          </cell>
        </row>
        <row r="135">
          <cell r="AC135" t="str">
            <v>REAJUSTES Y REINTEGROS</v>
          </cell>
        </row>
        <row r="138">
          <cell r="W138" t="str">
            <v>OBRA  :</v>
          </cell>
          <cell r="X138" t="str">
            <v xml:space="preserve"> Rehabilitación del Camino Vecinal Chuquibambilla-Pte Cupi-LLalli</v>
          </cell>
          <cell r="AC138" t="str">
            <v>CONTRATISTA :</v>
          </cell>
        </row>
        <row r="139">
          <cell r="X139" t="str">
            <v>Departamento de Puno</v>
          </cell>
          <cell r="AC139" t="str">
            <v>CONSORCIO LEO SAC</v>
          </cell>
        </row>
        <row r="140">
          <cell r="W140" t="str">
            <v>L.P. Nº:</v>
          </cell>
          <cell r="X140" t="str">
            <v>0001-2002-OB</v>
          </cell>
          <cell r="AC140" t="str">
            <v>SUPERVISION :</v>
          </cell>
        </row>
        <row r="141">
          <cell r="AC141" t="str">
            <v>CONSORCIO ALTIPLANO</v>
          </cell>
        </row>
        <row r="142">
          <cell r="W142" t="str">
            <v>Fórmula a utilizar :</v>
          </cell>
        </row>
        <row r="143">
          <cell r="AB143" t="str">
            <v xml:space="preserve">  R = Vcr - V</v>
          </cell>
        </row>
        <row r="144">
          <cell r="W144" t="str">
            <v>Vcr = VK - AV/C(K/Ka-1)</v>
          </cell>
        </row>
        <row r="145">
          <cell r="AB145" t="str">
            <v xml:space="preserve">  R = Reajuste de la Valorizacion</v>
          </cell>
        </row>
        <row r="146">
          <cell r="AB146" t="str">
            <v xml:space="preserve">  V = Valorización con precios al mes base</v>
          </cell>
        </row>
        <row r="147">
          <cell r="W147" t="str">
            <v>Vcr = Monto  de  la  valorizacion   mensual</v>
          </cell>
          <cell r="AB147" t="str">
            <v xml:space="preserve">  A = Adelanto otorgado  S/.</v>
          </cell>
          <cell r="AD147">
            <v>0</v>
          </cell>
        </row>
        <row r="148">
          <cell r="W148" t="str">
            <v xml:space="preserve">          reajustada corregida por la deduccion</v>
          </cell>
          <cell r="AB148" t="str">
            <v xml:space="preserve">  C = Monto del contrato S/.</v>
          </cell>
          <cell r="AD148">
            <v>1558374.15</v>
          </cell>
        </row>
        <row r="149">
          <cell r="W149" t="str">
            <v xml:space="preserve">          del reajuste generado por el adelanto</v>
          </cell>
          <cell r="AB149" t="str">
            <v xml:space="preserve">        </v>
          </cell>
        </row>
        <row r="150">
          <cell r="W150" t="str">
            <v xml:space="preserve">          en efectivo  (A/C = </v>
          </cell>
          <cell r="Z150">
            <v>0</v>
          </cell>
          <cell r="AB150" t="str">
            <v xml:space="preserve">  Mes base = Junio 2003 </v>
          </cell>
        </row>
        <row r="153">
          <cell r="W153" t="str">
            <v xml:space="preserve">   VALORIZACION</v>
          </cell>
          <cell r="Y153" t="str">
            <v>MONTO</v>
          </cell>
          <cell r="Z153" t="str">
            <v xml:space="preserve">  COEFICIENTES</v>
          </cell>
          <cell r="AB153" t="str">
            <v>MONTO DE</v>
          </cell>
          <cell r="AC153" t="str">
            <v>MONTO DE</v>
          </cell>
          <cell r="AD153" t="str">
            <v>MONTO DE</v>
          </cell>
        </row>
        <row r="154">
          <cell r="Y154" t="str">
            <v>DE LA</v>
          </cell>
          <cell r="AB154" t="str">
            <v>REAJUSTE</v>
          </cell>
          <cell r="AC154" t="str">
            <v>REAJUSTE</v>
          </cell>
          <cell r="AD154" t="str">
            <v>REAJUSTE</v>
          </cell>
        </row>
        <row r="155">
          <cell r="Y155" t="str">
            <v>VALORIZACION</v>
          </cell>
          <cell r="AB155" t="str">
            <v>MENSUAL</v>
          </cell>
          <cell r="AC155" t="str">
            <v xml:space="preserve">VALORIZACION </v>
          </cell>
          <cell r="AD155" t="str">
            <v xml:space="preserve">PRESENTE </v>
          </cell>
        </row>
        <row r="156">
          <cell r="W156" t="str">
            <v>No</v>
          </cell>
          <cell r="X156" t="str">
            <v>MES</v>
          </cell>
          <cell r="Y156" t="str">
            <v>NETO</v>
          </cell>
          <cell r="Z156" t="str">
            <v>K</v>
          </cell>
          <cell r="AA156" t="str">
            <v>Ka</v>
          </cell>
          <cell r="AB156" t="str">
            <v>CALCULADO</v>
          </cell>
          <cell r="AC156" t="str">
            <v>ANTERIOR</v>
          </cell>
          <cell r="AD156" t="str">
            <v>MES</v>
          </cell>
        </row>
        <row r="159">
          <cell r="W159" t="str">
            <v>01</v>
          </cell>
          <cell r="X159" t="str">
            <v>Dic. 03</v>
          </cell>
          <cell r="Y159" t="e">
            <v>#REF!</v>
          </cell>
          <cell r="Z159">
            <v>1.1579999999999999</v>
          </cell>
          <cell r="AA159">
            <v>1.1579999999999999</v>
          </cell>
          <cell r="AB159" t="e">
            <v>#REF!</v>
          </cell>
          <cell r="AC159">
            <v>0</v>
          </cell>
          <cell r="AD159" t="e">
            <v>#REF!</v>
          </cell>
        </row>
        <row r="160">
          <cell r="Y160" t="e">
            <v>#REF!</v>
          </cell>
          <cell r="Z160">
            <v>1.1700000000000002</v>
          </cell>
          <cell r="AA160">
            <v>1.17</v>
          </cell>
          <cell r="AB160" t="e">
            <v>#REF!</v>
          </cell>
          <cell r="AC160">
            <v>0</v>
          </cell>
          <cell r="AD160" t="e">
            <v>#REF!</v>
          </cell>
        </row>
        <row r="161">
          <cell r="Y161" t="e">
            <v>#REF!</v>
          </cell>
          <cell r="Z161">
            <v>1.1619999999999999</v>
          </cell>
          <cell r="AA161">
            <v>1.1619999999999999</v>
          </cell>
          <cell r="AB161" t="e">
            <v>#REF!</v>
          </cell>
          <cell r="AC161">
            <v>0</v>
          </cell>
          <cell r="AD161" t="e">
            <v>#REF!</v>
          </cell>
        </row>
        <row r="162">
          <cell r="Y162" t="e">
            <v>#REF!</v>
          </cell>
          <cell r="Z162">
            <v>1.0049999999999999</v>
          </cell>
          <cell r="AA162">
            <v>1.0049999999999999</v>
          </cell>
          <cell r="AB162" t="e">
            <v>#REF!</v>
          </cell>
          <cell r="AC162">
            <v>0</v>
          </cell>
          <cell r="AD162" t="e">
            <v>#REF!</v>
          </cell>
        </row>
        <row r="169">
          <cell r="W169" t="str">
            <v xml:space="preserve">        REAJUSTE DEL MES</v>
          </cell>
          <cell r="AD169" t="e">
            <v>#REF!</v>
          </cell>
        </row>
        <row r="173">
          <cell r="AF173" t="str">
            <v>PROVIAS RURAL</v>
          </cell>
          <cell r="AH173" t="str">
            <v xml:space="preserve">RESUMEN  </v>
          </cell>
        </row>
        <row r="174">
          <cell r="AH174" t="str">
            <v>DE LA</v>
          </cell>
          <cell r="AJ174" t="str">
            <v>Contratista :</v>
          </cell>
        </row>
        <row r="175">
          <cell r="AH175" t="str">
            <v>VALORIZACION Nº 01</v>
          </cell>
          <cell r="AJ175" t="str">
            <v>CONSORCIO LEO SAC</v>
          </cell>
        </row>
        <row r="176">
          <cell r="AF176" t="str">
            <v xml:space="preserve"> Rehabilitación del Camino Vecinal Chuquibambilla-Pte Cupi-LLalli</v>
          </cell>
          <cell r="AH176" t="str">
            <v>DICIEMBRE 2003</v>
          </cell>
          <cell r="AJ176" t="str">
            <v>Supervisor :</v>
          </cell>
        </row>
        <row r="177">
          <cell r="AF177" t="str">
            <v xml:space="preserve"> Rehabilitación del Caminos Vecinal : Acceso a Cupi</v>
          </cell>
          <cell r="AJ177" t="str">
            <v>CONSORCIO ALTIPLANO</v>
          </cell>
        </row>
        <row r="178">
          <cell r="AF178" t="str">
            <v xml:space="preserve"> Rehabilitación del Caminos Vecinal : Acceso Chuquibambilla - Huamanruro</v>
          </cell>
          <cell r="AH178" t="str">
            <v xml:space="preserve"> </v>
          </cell>
        </row>
        <row r="180">
          <cell r="AF180" t="str">
            <v>C O N C E P T O</v>
          </cell>
          <cell r="AG180" t="str">
            <v xml:space="preserve">  VALORIZACION ANTERIOR</v>
          </cell>
          <cell r="AI180" t="str">
            <v xml:space="preserve">    VALORIZACION ACTUAL</v>
          </cell>
          <cell r="AK180" t="str">
            <v>VALORIZACION ACUMULADA</v>
          </cell>
        </row>
        <row r="183">
          <cell r="AF183" t="str">
            <v xml:space="preserve">   VALORIZACION CONTRACTUAL</v>
          </cell>
        </row>
        <row r="184">
          <cell r="AF184" t="str">
            <v xml:space="preserve">   Monto Bruto Valorizado</v>
          </cell>
          <cell r="AG184">
            <v>0</v>
          </cell>
          <cell r="AI184">
            <v>125706.77</v>
          </cell>
          <cell r="AK184">
            <v>125706.77</v>
          </cell>
        </row>
        <row r="185">
          <cell r="AF185" t="str">
            <v xml:space="preserve">   Deducciones</v>
          </cell>
        </row>
        <row r="186">
          <cell r="AF186" t="str">
            <v xml:space="preserve">   . Amortizacion de Adelanto Directo  (20.00%)</v>
          </cell>
          <cell r="AH186">
            <v>0</v>
          </cell>
          <cell r="AJ186">
            <v>0</v>
          </cell>
          <cell r="AL186">
            <v>0</v>
          </cell>
        </row>
        <row r="187">
          <cell r="AF187" t="str">
            <v xml:space="preserve">   . Amortizacion de Adelanto por Materiales</v>
          </cell>
          <cell r="AH187">
            <v>0</v>
          </cell>
          <cell r="AJ187">
            <v>0</v>
          </cell>
          <cell r="AL187">
            <v>0</v>
          </cell>
        </row>
        <row r="188">
          <cell r="AF188" t="str">
            <v xml:space="preserve">   Total Deducciones</v>
          </cell>
          <cell r="AH188">
            <v>0</v>
          </cell>
          <cell r="AJ188">
            <v>0</v>
          </cell>
          <cell r="AL188">
            <v>0</v>
          </cell>
        </row>
        <row r="189">
          <cell r="AF189" t="str">
            <v xml:space="preserve">   TOTAL NETO VALORIZACION CONTRACTUAL</v>
          </cell>
          <cell r="AG189">
            <v>0</v>
          </cell>
          <cell r="AI189">
            <v>125706.77</v>
          </cell>
          <cell r="AK189">
            <v>125706.77</v>
          </cell>
        </row>
        <row r="191">
          <cell r="AF191" t="str">
            <v xml:space="preserve">   REAJUSTES Y REINTEGROS</v>
          </cell>
        </row>
        <row r="192">
          <cell r="AF192" t="str">
            <v xml:space="preserve">   Monto Bruto del reajuste</v>
          </cell>
          <cell r="AG192">
            <v>0</v>
          </cell>
          <cell r="AI192" t="e">
            <v>#REF!</v>
          </cell>
          <cell r="AK192" t="e">
            <v>#REF!</v>
          </cell>
        </row>
        <row r="193">
          <cell r="AF193" t="str">
            <v xml:space="preserve">   Deduciones</v>
          </cell>
        </row>
        <row r="194">
          <cell r="AF194" t="str">
            <v xml:space="preserve">   . Deducciones del Reajuste que no corresponde</v>
          </cell>
          <cell r="AH194">
            <v>0</v>
          </cell>
          <cell r="AJ194">
            <v>0</v>
          </cell>
          <cell r="AK194" t="str">
            <v xml:space="preserve"> </v>
          </cell>
          <cell r="AL194">
            <v>0</v>
          </cell>
        </row>
        <row r="195">
          <cell r="AF195" t="str">
            <v xml:space="preserve">   . Otros (Multa mora plazo ejec.)</v>
          </cell>
          <cell r="AH195">
            <v>0</v>
          </cell>
          <cell r="AJ195">
            <v>0</v>
          </cell>
          <cell r="AL195">
            <v>0</v>
          </cell>
        </row>
        <row r="196">
          <cell r="AF196" t="str">
            <v xml:space="preserve">   Total Deducciones</v>
          </cell>
          <cell r="AH196">
            <v>0</v>
          </cell>
          <cell r="AJ196">
            <v>0</v>
          </cell>
          <cell r="AL196">
            <v>0</v>
          </cell>
        </row>
        <row r="197">
          <cell r="AF197" t="str">
            <v xml:space="preserve">   TOTAL NETO REAJUSTE CONTRACTUAL</v>
          </cell>
          <cell r="AG197">
            <v>0</v>
          </cell>
          <cell r="AI197" t="e">
            <v>#REF!</v>
          </cell>
          <cell r="AK197" t="e">
            <v>#REF!</v>
          </cell>
        </row>
        <row r="200">
          <cell r="AF200" t="str">
            <v xml:space="preserve">   TOTAL NETO GENERAL</v>
          </cell>
          <cell r="AG200">
            <v>0</v>
          </cell>
          <cell r="AI200" t="e">
            <v>#REF!</v>
          </cell>
          <cell r="AK200" t="e">
            <v>#REF!</v>
          </cell>
        </row>
        <row r="201">
          <cell r="AF201" t="str">
            <v xml:space="preserve">   IGV(19% de Total neto ) </v>
          </cell>
          <cell r="AG201">
            <v>0</v>
          </cell>
          <cell r="AI201" t="e">
            <v>#REF!</v>
          </cell>
          <cell r="AK201" t="e">
            <v>#REF!</v>
          </cell>
        </row>
        <row r="203">
          <cell r="AF203" t="str">
            <v xml:space="preserve">    TOTAL DE LA VALORIZACION</v>
          </cell>
          <cell r="AG203">
            <v>0</v>
          </cell>
          <cell r="AI203" t="e">
            <v>#REF!</v>
          </cell>
          <cell r="AK203" t="e">
            <v>#REF!</v>
          </cell>
        </row>
        <row r="207">
          <cell r="AN207" t="str">
            <v>PROPIETARIO   : PROVIAS RURAL</v>
          </cell>
        </row>
        <row r="208">
          <cell r="AN208" t="str">
            <v>OBRA : REHABILITACION DEL CAMINO VECINAL : CHUQUIBAMBILLA-PTE CUPI-LLALLI Y OTROS</v>
          </cell>
        </row>
        <row r="209">
          <cell r="AN209" t="str">
            <v>Contratista       : CONSORCIO LEO SAC</v>
          </cell>
        </row>
        <row r="210">
          <cell r="AN210" t="str">
            <v>Supervisor        : CONSORCIO ALTIPLANO</v>
          </cell>
        </row>
        <row r="212">
          <cell r="AN212" t="str">
            <v xml:space="preserve">                     VALORIZACIONES Y REINTEGROS DISCRIMINADOS</v>
          </cell>
        </row>
        <row r="248">
          <cell r="AT248" t="str">
            <v>INVERMET</v>
          </cell>
          <cell r="AY248" t="str">
            <v>D E D U C C I O N   D E   R E A J U S T E   Q U E   N O   C O R R E S P O N D E</v>
          </cell>
        </row>
        <row r="250">
          <cell r="AY250" t="str">
            <v>MATERIAL : AFIRMADO</v>
          </cell>
          <cell r="BB250" t="str">
            <v>ADELANTO</v>
          </cell>
          <cell r="BC250" t="str">
            <v xml:space="preserve">MONTO </v>
          </cell>
          <cell r="BD250" t="str">
            <v>M O N T O  D E F L A T A D O</v>
          </cell>
        </row>
        <row r="251">
          <cell r="AT251" t="str">
            <v>OBRA : TRANSITABILIDAD EN VIAS ALTERNAS AL CORRE-</v>
          </cell>
          <cell r="AY251" t="str">
            <v>INDICE        : 20</v>
          </cell>
          <cell r="BB251" t="str">
            <v xml:space="preserve">Nº      FECHA </v>
          </cell>
          <cell r="BC251" t="str">
            <v>OTORGADO</v>
          </cell>
          <cell r="BD251" t="str">
            <v>ADELANTO</v>
          </cell>
          <cell r="BE251" t="str">
            <v>ACUMULADO</v>
          </cell>
        </row>
        <row r="252">
          <cell r="AU252" t="str">
            <v>DOR VIAL ALMIRANTE MIGUEL GRAU</v>
          </cell>
        </row>
        <row r="253">
          <cell r="BB253" t="str">
            <v>1   31.07.98</v>
          </cell>
          <cell r="BC253">
            <v>85760</v>
          </cell>
          <cell r="BD253">
            <v>78551.81</v>
          </cell>
          <cell r="BE253">
            <v>78551.81</v>
          </cell>
        </row>
        <row r="254">
          <cell r="AT254" t="str">
            <v>L.P. Nº : 0001-2002-OB</v>
          </cell>
        </row>
        <row r="256">
          <cell r="AT256" t="str">
            <v>Contratista :</v>
          </cell>
          <cell r="AV256" t="str">
            <v>RICSA CONT. GENERALES SRL.</v>
          </cell>
        </row>
        <row r="257">
          <cell r="AT257" t="str">
            <v xml:space="preserve">Supervisor : </v>
          </cell>
          <cell r="AV257" t="str">
            <v>Ingº JORGE NAVARRO VALLE</v>
          </cell>
        </row>
        <row r="259">
          <cell r="AT259" t="str">
            <v>VALORIZACION</v>
          </cell>
          <cell r="AV259" t="str">
            <v>MONTO BRUTO</v>
          </cell>
          <cell r="AW259" t="str">
            <v>COEFIC.</v>
          </cell>
          <cell r="AX259" t="str">
            <v>ADELANTO</v>
          </cell>
          <cell r="AZ259" t="str">
            <v>INDICES</v>
          </cell>
          <cell r="BB259" t="str">
            <v xml:space="preserve">MONTO </v>
          </cell>
          <cell r="BC259" t="str">
            <v xml:space="preserve">ADELANTO </v>
          </cell>
          <cell r="BD259" t="str">
            <v xml:space="preserve">SALDO </v>
          </cell>
          <cell r="BE259" t="str">
            <v>DEDUCCION</v>
          </cell>
        </row>
        <row r="260">
          <cell r="BB260" t="str">
            <v>MAXIMO</v>
          </cell>
          <cell r="BC260" t="str">
            <v>POR</v>
          </cell>
          <cell r="BD260" t="str">
            <v>POR</v>
          </cell>
        </row>
        <row r="261">
          <cell r="AT261" t="str">
            <v>No</v>
          </cell>
          <cell r="AU261" t="str">
            <v>Mes</v>
          </cell>
          <cell r="AV261" t="str">
            <v>(1)</v>
          </cell>
          <cell r="AW261" t="str">
            <v>(2)</v>
          </cell>
          <cell r="AX261" t="str">
            <v>(3)=(1)x(2)</v>
          </cell>
          <cell r="AY261" t="str">
            <v>Imo</v>
          </cell>
          <cell r="AZ261" t="str">
            <v>Ima</v>
          </cell>
          <cell r="BA261" t="str">
            <v>Imr</v>
          </cell>
          <cell r="BB261" t="str">
            <v>UTILIZABLE</v>
          </cell>
          <cell r="BC261" t="str">
            <v>UTILIZAR</v>
          </cell>
          <cell r="BD261" t="str">
            <v>DEDUCIR</v>
          </cell>
        </row>
        <row r="262">
          <cell r="AX262" t="str">
            <v xml:space="preserve"> </v>
          </cell>
          <cell r="AY262" t="str">
            <v>(4)</v>
          </cell>
          <cell r="AZ262" t="str">
            <v>(5)</v>
          </cell>
          <cell r="BA262" t="str">
            <v>(6)</v>
          </cell>
          <cell r="BB262" t="str">
            <v>Adelx(4)/(5)</v>
          </cell>
          <cell r="BC262" t="str">
            <v>(7)</v>
          </cell>
          <cell r="BD262" t="str">
            <v>(7) - (3)</v>
          </cell>
          <cell r="BE262" t="str">
            <v>(3)x[(6)-(5)/(4)]</v>
          </cell>
        </row>
        <row r="265">
          <cell r="AT265" t="str">
            <v>01</v>
          </cell>
          <cell r="AU265" t="str">
            <v>Oct.98</v>
          </cell>
          <cell r="AV265">
            <v>26391.95</v>
          </cell>
          <cell r="AW265">
            <v>0.128</v>
          </cell>
          <cell r="AX265">
            <v>3378.17</v>
          </cell>
          <cell r="AY265">
            <v>125.54</v>
          </cell>
          <cell r="AZ265">
            <v>137.06</v>
          </cell>
          <cell r="BA265">
            <v>137.06</v>
          </cell>
          <cell r="BB265">
            <v>78551.81</v>
          </cell>
          <cell r="BC265">
            <v>78551.81</v>
          </cell>
          <cell r="BD265">
            <v>75173.64</v>
          </cell>
          <cell r="BE265">
            <v>0</v>
          </cell>
        </row>
        <row r="266">
          <cell r="AT266" t="str">
            <v>02</v>
          </cell>
          <cell r="AU266" t="str">
            <v>Nov.98</v>
          </cell>
          <cell r="AV266">
            <v>20000</v>
          </cell>
          <cell r="AW266">
            <v>0.128</v>
          </cell>
          <cell r="AX266">
            <v>2560</v>
          </cell>
          <cell r="AY266">
            <v>125.54</v>
          </cell>
          <cell r="AZ266">
            <v>137.06</v>
          </cell>
          <cell r="BA266">
            <v>180</v>
          </cell>
          <cell r="BB266">
            <v>75173.64</v>
          </cell>
          <cell r="BC266">
            <v>75173.64</v>
          </cell>
          <cell r="BD266">
            <v>72613.64</v>
          </cell>
          <cell r="BE266">
            <v>875.63</v>
          </cell>
        </row>
        <row r="275">
          <cell r="AT275" t="str">
            <v>T O T A L</v>
          </cell>
          <cell r="BD275">
            <v>0</v>
          </cell>
          <cell r="BE275">
            <v>875.63</v>
          </cell>
        </row>
        <row r="279">
          <cell r="AT279" t="str">
            <v>INVERMET</v>
          </cell>
          <cell r="AY279" t="str">
            <v>D E D U C C I O N   D E   R E A J U S T E   Q U E   N O   C O R R E S P O N D E</v>
          </cell>
        </row>
        <row r="280">
          <cell r="AT280" t="str">
            <v>Fondo Metropolitano de Inversiones</v>
          </cell>
        </row>
        <row r="281">
          <cell r="AY281" t="str">
            <v>MATERIAL : AFIRMADO</v>
          </cell>
          <cell r="BB281" t="str">
            <v>ADELANTO</v>
          </cell>
          <cell r="BC281" t="str">
            <v xml:space="preserve">MONTO </v>
          </cell>
          <cell r="BD281" t="str">
            <v>M O N T O  D E F L A T A D O</v>
          </cell>
        </row>
        <row r="282">
          <cell r="AT282" t="str">
            <v xml:space="preserve">OBRA : REHABILITACION DE PISTAS Y VEREDAS </v>
          </cell>
          <cell r="AY282" t="str">
            <v>INDICE        : 20</v>
          </cell>
          <cell r="BB282" t="str">
            <v xml:space="preserve">Nº      FECHA </v>
          </cell>
          <cell r="BC282" t="str">
            <v>OTORGADO</v>
          </cell>
          <cell r="BD282" t="str">
            <v>ADELANTO</v>
          </cell>
          <cell r="BE282" t="str">
            <v>ACUMULADO</v>
          </cell>
        </row>
        <row r="283">
          <cell r="AU283" t="str">
            <v>DEL JR. ECUADOR</v>
          </cell>
        </row>
        <row r="284">
          <cell r="AU284" t="str">
            <v>Tramo : Av. Enrique Meiggs - Av. Argentina</v>
          </cell>
          <cell r="BB284" t="str">
            <v>1   31.07.98</v>
          </cell>
          <cell r="BC284">
            <v>85760</v>
          </cell>
          <cell r="BD284">
            <v>78551.81</v>
          </cell>
          <cell r="BE284">
            <v>78551.81</v>
          </cell>
        </row>
        <row r="285">
          <cell r="AT285" t="str">
            <v>AD. Nº : 031</v>
          </cell>
        </row>
        <row r="286">
          <cell r="AT286" t="str">
            <v>Contratista :</v>
          </cell>
        </row>
        <row r="287">
          <cell r="AT287" t="str">
            <v xml:space="preserve">Supervisor : </v>
          </cell>
          <cell r="AV287" t="str">
            <v>Ingº JORGE NAVARRO VALLE</v>
          </cell>
        </row>
        <row r="289">
          <cell r="AT289" t="str">
            <v>VALORIZACION</v>
          </cell>
          <cell r="AV289" t="str">
            <v>MONTO BRUTO</v>
          </cell>
          <cell r="AW289" t="str">
            <v>COEFIC.</v>
          </cell>
          <cell r="AX289" t="str">
            <v>ADELANTO</v>
          </cell>
          <cell r="AZ289" t="str">
            <v>INDICES</v>
          </cell>
          <cell r="BB289" t="str">
            <v xml:space="preserve">MONTO </v>
          </cell>
          <cell r="BC289" t="str">
            <v xml:space="preserve">ADELANTO </v>
          </cell>
          <cell r="BD289" t="str">
            <v xml:space="preserve">SALDO </v>
          </cell>
          <cell r="BE289" t="str">
            <v>DEDUCCION</v>
          </cell>
        </row>
        <row r="290">
          <cell r="BB290" t="str">
            <v>MAXIMO</v>
          </cell>
          <cell r="BC290" t="str">
            <v>POR</v>
          </cell>
          <cell r="BD290" t="str">
            <v>POR</v>
          </cell>
        </row>
        <row r="291">
          <cell r="AT291" t="str">
            <v>No</v>
          </cell>
          <cell r="AU291" t="str">
            <v>Mes</v>
          </cell>
          <cell r="AV291" t="str">
            <v>(1)</v>
          </cell>
          <cell r="AW291" t="str">
            <v>(2)</v>
          </cell>
          <cell r="AX291" t="str">
            <v>(3)=(1)x(2)</v>
          </cell>
          <cell r="AY291" t="str">
            <v>Imo</v>
          </cell>
          <cell r="AZ291" t="str">
            <v>Ima</v>
          </cell>
          <cell r="BA291" t="str">
            <v>Imr</v>
          </cell>
          <cell r="BB291" t="str">
            <v>UTILIZABLE</v>
          </cell>
          <cell r="BC291" t="str">
            <v>UTILIZAR</v>
          </cell>
          <cell r="BD291" t="str">
            <v>DEDUCIR</v>
          </cell>
        </row>
        <row r="292">
          <cell r="AX292" t="str">
            <v xml:space="preserve"> </v>
          </cell>
          <cell r="AY292" t="str">
            <v>(4)</v>
          </cell>
          <cell r="AZ292" t="str">
            <v>(5)</v>
          </cell>
          <cell r="BA292" t="str">
            <v>(6)</v>
          </cell>
          <cell r="BB292" t="str">
            <v>Adelx(4)/(5)</v>
          </cell>
          <cell r="BC292" t="str">
            <v>(7)</v>
          </cell>
          <cell r="BD292" t="str">
            <v>(7) - (3)</v>
          </cell>
          <cell r="BE292" t="str">
            <v>(3)x[(6)-(5)/(4)]</v>
          </cell>
        </row>
        <row r="295">
          <cell r="AT295" t="str">
            <v>01</v>
          </cell>
          <cell r="AU295" t="str">
            <v>Oct.98</v>
          </cell>
          <cell r="AV295">
            <v>26391.95</v>
          </cell>
          <cell r="AW295">
            <v>0.128</v>
          </cell>
          <cell r="AX295">
            <v>3378.17</v>
          </cell>
          <cell r="AY295">
            <v>125.54</v>
          </cell>
          <cell r="AZ295">
            <v>137.06</v>
          </cell>
          <cell r="BA295">
            <v>137.06</v>
          </cell>
          <cell r="BB295">
            <v>78551.81</v>
          </cell>
          <cell r="BC295">
            <v>78551.81</v>
          </cell>
          <cell r="BD295">
            <v>75173.64</v>
          </cell>
          <cell r="BE295">
            <v>0</v>
          </cell>
        </row>
        <row r="296">
          <cell r="AT296" t="str">
            <v>02</v>
          </cell>
          <cell r="AU296" t="str">
            <v>30.11.93</v>
          </cell>
          <cell r="AV296">
            <v>18000</v>
          </cell>
          <cell r="AW296">
            <v>0.128</v>
          </cell>
          <cell r="AX296">
            <v>2304</v>
          </cell>
          <cell r="AY296">
            <v>125.54</v>
          </cell>
          <cell r="AZ296">
            <v>137.06</v>
          </cell>
          <cell r="BA296">
            <v>137.06</v>
          </cell>
          <cell r="BB296">
            <v>75173.64</v>
          </cell>
          <cell r="BC296">
            <v>75173.64</v>
          </cell>
          <cell r="BD296">
            <v>72869.64</v>
          </cell>
          <cell r="BE296">
            <v>0</v>
          </cell>
        </row>
        <row r="309">
          <cell r="BN309" t="str">
            <v xml:space="preserve">       A M O R T I Z A C I O N    D E   M A T E R I A L E S</v>
          </cell>
        </row>
        <row r="310">
          <cell r="BG310" t="str">
            <v>INVERMET</v>
          </cell>
        </row>
        <row r="311">
          <cell r="BG311" t="str">
            <v>Fondo Metropolitano de Inversiones</v>
          </cell>
        </row>
        <row r="313">
          <cell r="BG313" t="str">
            <v>OBRA :</v>
          </cell>
          <cell r="BH313" t="str">
            <v>REHABILITACION DE PISTAS Y VEREDAS DEL JR. ECUADOR</v>
          </cell>
          <cell r="BN313" t="str">
            <v>MATERIAL</v>
          </cell>
          <cell r="BO313" t="str">
            <v xml:space="preserve"> : AFIRMADO</v>
          </cell>
        </row>
        <row r="314">
          <cell r="BH314" t="str">
            <v>Tramo : Av. Enrique Meiggs - Av. Argentina</v>
          </cell>
        </row>
        <row r="315">
          <cell r="BN315" t="str">
            <v>INDICE</v>
          </cell>
          <cell r="BO315" t="str">
            <v>: 4</v>
          </cell>
        </row>
        <row r="316">
          <cell r="BG316" t="str">
            <v>Contratista :</v>
          </cell>
        </row>
        <row r="317">
          <cell r="BG317" t="str">
            <v>Supervisor: INGº JORGE NAVARRO VALLE</v>
          </cell>
        </row>
        <row r="320">
          <cell r="BG320" t="str">
            <v>VAL</v>
          </cell>
          <cell r="BH320" t="str">
            <v xml:space="preserve">MONTO DEL </v>
          </cell>
          <cell r="BJ320" t="str">
            <v>INCID.</v>
          </cell>
          <cell r="BK320" t="str">
            <v>METRADO</v>
          </cell>
          <cell r="BL320" t="str">
            <v>PRECIO</v>
          </cell>
          <cell r="BM320" t="str">
            <v xml:space="preserve">AMORTIZACION </v>
          </cell>
          <cell r="BP320" t="str">
            <v>AMORTIZACION</v>
          </cell>
          <cell r="BQ320" t="str">
            <v>AMORTIZACION</v>
          </cell>
          <cell r="BR320" t="str">
            <v>SALDO</v>
          </cell>
        </row>
        <row r="321">
          <cell r="BG321" t="str">
            <v>No.</v>
          </cell>
          <cell r="BH321" t="str">
            <v>ADELANTO</v>
          </cell>
          <cell r="BI321" t="str">
            <v>PARTIDA</v>
          </cell>
          <cell r="BJ321" t="str">
            <v>UNITARIA</v>
          </cell>
          <cell r="BK321" t="str">
            <v>VALORIZADO</v>
          </cell>
          <cell r="BL321" t="str">
            <v>UNITARIO</v>
          </cell>
          <cell r="BM321" t="str">
            <v>A FECHA DEL</v>
          </cell>
          <cell r="BN321" t="str">
            <v>Imr</v>
          </cell>
          <cell r="BO321" t="str">
            <v>Imo</v>
          </cell>
          <cell r="BP321" t="str">
            <v>PRESENTE</v>
          </cell>
          <cell r="BR321" t="str">
            <v>POR</v>
          </cell>
        </row>
        <row r="322">
          <cell r="BH322" t="str">
            <v>OTORGADO</v>
          </cell>
          <cell r="BL322" t="str">
            <v>BASE</v>
          </cell>
          <cell r="BM322" t="str">
            <v>PPTO BASE</v>
          </cell>
          <cell r="BP322" t="str">
            <v>VALORIZACION</v>
          </cell>
          <cell r="BQ322" t="str">
            <v>ACUMULADA</v>
          </cell>
          <cell r="BR322" t="str">
            <v>AMORTIZAR</v>
          </cell>
        </row>
        <row r="323">
          <cell r="BH323" t="str">
            <v>(1)</v>
          </cell>
          <cell r="BJ323" t="str">
            <v>(2)</v>
          </cell>
          <cell r="BK323" t="str">
            <v>(3)</v>
          </cell>
          <cell r="BL323" t="str">
            <v>(4)</v>
          </cell>
          <cell r="BM323" t="str">
            <v>(5)=(2) (3) (4)</v>
          </cell>
          <cell r="BN323" t="str">
            <v>(6)</v>
          </cell>
          <cell r="BO323" t="str">
            <v>(7)</v>
          </cell>
          <cell r="BP323" t="str">
            <v>(8)=(5) (6)/ (7)</v>
          </cell>
          <cell r="BQ323" t="str">
            <v>(9)</v>
          </cell>
          <cell r="BR323" t="str">
            <v>(10)=(1) - (9)</v>
          </cell>
        </row>
        <row r="325">
          <cell r="BG325" t="str">
            <v>02</v>
          </cell>
          <cell r="BH325">
            <v>85760</v>
          </cell>
          <cell r="BI325" t="str">
            <v>P79017</v>
          </cell>
          <cell r="BJ325">
            <v>0.2</v>
          </cell>
          <cell r="BK325">
            <v>14753</v>
          </cell>
          <cell r="BL325">
            <v>13.5</v>
          </cell>
          <cell r="BM325">
            <v>39833.1</v>
          </cell>
          <cell r="BN325">
            <v>137.06</v>
          </cell>
          <cell r="BO325">
            <v>125.54</v>
          </cell>
          <cell r="BP325">
            <v>43488.33</v>
          </cell>
          <cell r="BQ325">
            <v>43488.33</v>
          </cell>
          <cell r="BR325">
            <v>42271.67</v>
          </cell>
        </row>
        <row r="326">
          <cell r="BG326" t="str">
            <v xml:space="preserve"> </v>
          </cell>
          <cell r="BH326" t="str">
            <v xml:space="preserve"> </v>
          </cell>
          <cell r="BI326" t="str">
            <v xml:space="preserve"> </v>
          </cell>
          <cell r="BJ326" t="str">
            <v xml:space="preserve"> </v>
          </cell>
          <cell r="BK326" t="str">
            <v xml:space="preserve"> </v>
          </cell>
          <cell r="BL326" t="str">
            <v xml:space="preserve"> </v>
          </cell>
          <cell r="BM326" t="str">
            <v xml:space="preserve"> </v>
          </cell>
          <cell r="BN326" t="str">
            <v xml:space="preserve"> </v>
          </cell>
          <cell r="BO326" t="str">
            <v xml:space="preserve"> </v>
          </cell>
          <cell r="BP326" t="str">
            <v xml:space="preserve"> </v>
          </cell>
          <cell r="BQ326" t="str">
            <v xml:space="preserve"> </v>
          </cell>
          <cell r="BR326" t="str">
            <v xml:space="preserve"> </v>
          </cell>
        </row>
        <row r="327">
          <cell r="BG327" t="str">
            <v xml:space="preserve"> </v>
          </cell>
          <cell r="BI327" t="str">
            <v xml:space="preserve"> </v>
          </cell>
          <cell r="BJ327" t="str">
            <v xml:space="preserve"> </v>
          </cell>
          <cell r="BK327" t="str">
            <v xml:space="preserve"> </v>
          </cell>
          <cell r="BL327" t="str">
            <v xml:space="preserve"> </v>
          </cell>
          <cell r="BM327" t="str">
            <v xml:space="preserve"> </v>
          </cell>
        </row>
        <row r="328">
          <cell r="BL328" t="str">
            <v xml:space="preserve"> </v>
          </cell>
          <cell r="BM328" t="str">
            <v xml:space="preserve"> </v>
          </cell>
          <cell r="BN328" t="str">
            <v xml:space="preserve"> </v>
          </cell>
          <cell r="BO328" t="str">
            <v xml:space="preserve"> </v>
          </cell>
          <cell r="BP328" t="str">
            <v xml:space="preserve"> </v>
          </cell>
          <cell r="BQ328" t="str">
            <v xml:space="preserve"> </v>
          </cell>
          <cell r="BR328" t="str">
            <v xml:space="preserve"> </v>
          </cell>
        </row>
        <row r="331">
          <cell r="BG331" t="str">
            <v>TOTALES</v>
          </cell>
          <cell r="BR331">
            <v>42271.67</v>
          </cell>
        </row>
        <row r="334">
          <cell r="BN334" t="str">
            <v xml:space="preserve">       A M O R T I Z A C I O N    D E   M A T E R I A L E S</v>
          </cell>
        </row>
        <row r="335">
          <cell r="BG335" t="str">
            <v>INVERMET</v>
          </cell>
        </row>
        <row r="336">
          <cell r="BG336" t="str">
            <v>FONDO METROPOLITANO DE INVERSIONES</v>
          </cell>
        </row>
        <row r="338">
          <cell r="BG338" t="str">
            <v>OBRA :</v>
          </cell>
          <cell r="BN338" t="str">
            <v>MATERIAL</v>
          </cell>
          <cell r="BO338" t="str">
            <v xml:space="preserve"> : AFIRMADO</v>
          </cell>
        </row>
        <row r="340">
          <cell r="BN340" t="str">
            <v>INDICE</v>
          </cell>
          <cell r="BO340" t="str">
            <v>: 4</v>
          </cell>
        </row>
        <row r="341">
          <cell r="BG341" t="str">
            <v>Contratista :</v>
          </cell>
        </row>
        <row r="342">
          <cell r="BG342" t="str">
            <v>Supervisor: EICA Consultores S.A.</v>
          </cell>
        </row>
        <row r="345">
          <cell r="BG345" t="str">
            <v>VAL</v>
          </cell>
          <cell r="BH345" t="str">
            <v xml:space="preserve">MONTO DEL </v>
          </cell>
          <cell r="BJ345" t="str">
            <v>INCID.</v>
          </cell>
          <cell r="BK345" t="str">
            <v>METRADO</v>
          </cell>
          <cell r="BL345" t="str">
            <v>PRECIO</v>
          </cell>
          <cell r="BM345" t="str">
            <v xml:space="preserve">AMORTIZACION </v>
          </cell>
          <cell r="BP345" t="str">
            <v>AMORTIZACION</v>
          </cell>
          <cell r="BQ345" t="str">
            <v>AMORTIZACION</v>
          </cell>
          <cell r="BR345" t="str">
            <v>SALDO</v>
          </cell>
        </row>
        <row r="346">
          <cell r="BG346" t="str">
            <v>No.</v>
          </cell>
          <cell r="BH346" t="str">
            <v>ADELANTO</v>
          </cell>
          <cell r="BI346" t="str">
            <v>PARTIDA</v>
          </cell>
          <cell r="BJ346" t="str">
            <v>UNITARIA</v>
          </cell>
          <cell r="BK346" t="str">
            <v>VALORIZADO</v>
          </cell>
          <cell r="BL346" t="str">
            <v>UNITARIO</v>
          </cell>
          <cell r="BM346" t="str">
            <v>A FECHA DEL</v>
          </cell>
          <cell r="BN346" t="str">
            <v>Imr</v>
          </cell>
          <cell r="BO346" t="str">
            <v>Imo</v>
          </cell>
          <cell r="BP346" t="str">
            <v>PRESENTE</v>
          </cell>
          <cell r="BR346" t="str">
            <v>POR</v>
          </cell>
        </row>
        <row r="347">
          <cell r="BH347" t="str">
            <v>OTORGADO</v>
          </cell>
          <cell r="BL347" t="str">
            <v>BASE</v>
          </cell>
          <cell r="BM347" t="str">
            <v>PPTO BASE</v>
          </cell>
          <cell r="BP347" t="str">
            <v>VALORIZACION</v>
          </cell>
          <cell r="BQ347" t="str">
            <v>ACUMULADA</v>
          </cell>
          <cell r="BR347" t="str">
            <v>AMORTIZAR</v>
          </cell>
        </row>
        <row r="348">
          <cell r="BH348" t="str">
            <v>(1)</v>
          </cell>
          <cell r="BJ348" t="str">
            <v>(2)</v>
          </cell>
          <cell r="BK348" t="str">
            <v>(3)</v>
          </cell>
          <cell r="BL348" t="str">
            <v>(4)</v>
          </cell>
          <cell r="BM348" t="str">
            <v>(5)=(2) (3) (4)</v>
          </cell>
          <cell r="BN348" t="str">
            <v>(6)</v>
          </cell>
          <cell r="BO348" t="str">
            <v>(7)</v>
          </cell>
          <cell r="BP348" t="str">
            <v>(8)=(5) (6)/ (7)</v>
          </cell>
          <cell r="BQ348" t="str">
            <v>(9)</v>
          </cell>
          <cell r="BR348" t="str">
            <v>(10)=(1) - (9)</v>
          </cell>
        </row>
        <row r="350">
          <cell r="BG350" t="str">
            <v>02</v>
          </cell>
          <cell r="BH350">
            <v>85760</v>
          </cell>
          <cell r="BI350" t="str">
            <v>P79017</v>
          </cell>
          <cell r="BJ350">
            <v>0.2</v>
          </cell>
          <cell r="BK350">
            <v>14753</v>
          </cell>
          <cell r="BL350">
            <v>13.5</v>
          </cell>
          <cell r="BM350">
            <v>39833.1</v>
          </cell>
          <cell r="BN350">
            <v>137.06</v>
          </cell>
          <cell r="BO350">
            <v>125.54</v>
          </cell>
          <cell r="BP350">
            <v>43488.33</v>
          </cell>
          <cell r="BQ350">
            <v>43488.33</v>
          </cell>
          <cell r="BR350">
            <v>42271.67</v>
          </cell>
        </row>
        <row r="351">
          <cell r="BG351" t="str">
            <v xml:space="preserve"> </v>
          </cell>
          <cell r="BH351" t="str">
            <v xml:space="preserve"> </v>
          </cell>
          <cell r="BI351" t="str">
            <v xml:space="preserve"> </v>
          </cell>
          <cell r="BJ351" t="str">
            <v xml:space="preserve"> </v>
          </cell>
          <cell r="BK351" t="str">
            <v xml:space="preserve"> </v>
          </cell>
          <cell r="BL351" t="str">
            <v xml:space="preserve"> </v>
          </cell>
          <cell r="BM351" t="str">
            <v xml:space="preserve"> </v>
          </cell>
          <cell r="BN351" t="str">
            <v xml:space="preserve"> </v>
          </cell>
          <cell r="BO351" t="str">
            <v xml:space="preserve"> </v>
          </cell>
          <cell r="BP351" t="str">
            <v xml:space="preserve"> </v>
          </cell>
          <cell r="BQ351" t="str">
            <v xml:space="preserve"> </v>
          </cell>
          <cell r="BR351" t="str">
            <v xml:space="preserve"> </v>
          </cell>
        </row>
        <row r="352">
          <cell r="BG352" t="str">
            <v xml:space="preserve"> </v>
          </cell>
          <cell r="BI352" t="str">
            <v xml:space="preserve"> </v>
          </cell>
          <cell r="BJ352" t="str">
            <v xml:space="preserve"> </v>
          </cell>
          <cell r="BK352" t="str">
            <v xml:space="preserve"> </v>
          </cell>
          <cell r="BL352" t="str">
            <v xml:space="preserve"> </v>
          </cell>
          <cell r="BM352" t="str">
            <v xml:space="preserve"> </v>
          </cell>
        </row>
        <row r="353">
          <cell r="BL353" t="str">
            <v xml:space="preserve"> </v>
          </cell>
          <cell r="BM353" t="str">
            <v xml:space="preserve"> </v>
          </cell>
          <cell r="BN353" t="str">
            <v xml:space="preserve"> </v>
          </cell>
          <cell r="BO353" t="str">
            <v xml:space="preserve"> </v>
          </cell>
          <cell r="BP353" t="str">
            <v xml:space="preserve"> </v>
          </cell>
          <cell r="BQ353" t="str">
            <v xml:space="preserve"> </v>
          </cell>
          <cell r="BR353" t="str">
            <v xml:space="preserve"> 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ari-chuqui"/>
      <sheetName val="Resumen"/>
      <sheetName val="RESUMEN VAL"/>
      <sheetName val="CUADRO VAL"/>
      <sheetName val="Resumen Gener."/>
      <sheetName val="Reajustes"/>
      <sheetName val="CUADRO VAL (2)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PROVIAS RURAL</v>
          </cell>
          <cell r="I5" t="str">
            <v xml:space="preserve">    FORMULA </v>
          </cell>
        </row>
        <row r="6">
          <cell r="I6" t="str">
            <v>POLINOMICA</v>
          </cell>
        </row>
        <row r="8">
          <cell r="C8" t="str">
            <v>OBRA :</v>
          </cell>
          <cell r="D8" t="str">
            <v xml:space="preserve"> Rehabilitación del Camino Vecinal Chuquibambilla-Pte Cupi-LLalli</v>
          </cell>
          <cell r="I8" t="str">
            <v>Mes Base - Junio 2003</v>
          </cell>
        </row>
        <row r="9">
          <cell r="D9" t="str">
            <v>Departamento de Puno</v>
          </cell>
          <cell r="I9" t="str">
            <v>Area Geográfica 6</v>
          </cell>
        </row>
        <row r="10">
          <cell r="C10" t="str">
            <v>Contrato</v>
          </cell>
          <cell r="D10" t="str">
            <v>834-2003-MTC/21</v>
          </cell>
        </row>
        <row r="13">
          <cell r="C13" t="str">
            <v>K = 0.066(Jr/Jo)+0.079(Cr/Co9+0.037(Ar/Ao)+0.26(Enr/ENo9)+0.434(Eir/Eio)+0.124(GGUr/GGUo)</v>
          </cell>
        </row>
        <row r="15">
          <cell r="G15" t="str">
            <v xml:space="preserve">       INDICE</v>
          </cell>
        </row>
        <row r="16">
          <cell r="C16" t="str">
            <v>CODIGO</v>
          </cell>
          <cell r="D16" t="str">
            <v>DESCRIPCION</v>
          </cell>
          <cell r="E16" t="str">
            <v>NOMENC.</v>
          </cell>
          <cell r="F16" t="str">
            <v>INCID.</v>
          </cell>
          <cell r="I16" t="str">
            <v>COEFIC.</v>
          </cell>
          <cell r="J16" t="str">
            <v>PARCIAL</v>
          </cell>
          <cell r="K16" t="str">
            <v>K</v>
          </cell>
        </row>
        <row r="17">
          <cell r="G17" t="str">
            <v>AGO. 03</v>
          </cell>
          <cell r="H17" t="str">
            <v>NOV.03</v>
          </cell>
        </row>
        <row r="19">
          <cell r="C19" t="str">
            <v>47</v>
          </cell>
          <cell r="D19" t="str">
            <v>MANO DE OBRA</v>
          </cell>
          <cell r="E19" t="str">
            <v>J</v>
          </cell>
          <cell r="F19">
            <v>100</v>
          </cell>
          <cell r="G19">
            <v>292.52999999999997</v>
          </cell>
          <cell r="H19">
            <v>309.81</v>
          </cell>
          <cell r="I19">
            <v>6.6000000000000003E-2</v>
          </cell>
          <cell r="J19">
            <v>7.0000000000000007E-2</v>
          </cell>
          <cell r="K19">
            <v>7.0000000000000007E-2</v>
          </cell>
        </row>
        <row r="21">
          <cell r="C21">
            <v>21</v>
          </cell>
          <cell r="D21" t="str">
            <v>CEMENTO PORTLAND TIPO I</v>
          </cell>
          <cell r="E21" t="str">
            <v>C</v>
          </cell>
          <cell r="F21">
            <v>77.22</v>
          </cell>
          <cell r="G21">
            <v>375.29</v>
          </cell>
          <cell r="H21">
            <v>375.29</v>
          </cell>
          <cell r="I21">
            <v>7.9000000000000001E-2</v>
          </cell>
          <cell r="J21">
            <v>6.0999999999999999E-2</v>
          </cell>
        </row>
        <row r="22">
          <cell r="C22">
            <v>45</v>
          </cell>
          <cell r="D22" t="str">
            <v>MADERA TERCIADA PARA ENCOFRADO</v>
          </cell>
          <cell r="F22">
            <v>22.78</v>
          </cell>
          <cell r="G22">
            <v>247.38</v>
          </cell>
          <cell r="H22">
            <v>246.56</v>
          </cell>
          <cell r="J22">
            <v>1.7999999999999999E-2</v>
          </cell>
          <cell r="K22">
            <v>7.9000000000000001E-2</v>
          </cell>
        </row>
        <row r="24">
          <cell r="C24" t="str">
            <v>02</v>
          </cell>
          <cell r="D24" t="str">
            <v>ACERO DE CONSTRUCCION LISO</v>
          </cell>
          <cell r="E24" t="str">
            <v>A</v>
          </cell>
          <cell r="F24">
            <v>91.89</v>
          </cell>
          <cell r="G24">
            <v>279.39</v>
          </cell>
          <cell r="H24">
            <v>279.14999999999998</v>
          </cell>
          <cell r="I24">
            <v>3.6999999999999998E-2</v>
          </cell>
          <cell r="J24">
            <v>3.4000000000000002E-2</v>
          </cell>
        </row>
        <row r="25">
          <cell r="C25">
            <v>37</v>
          </cell>
          <cell r="D25" t="str">
            <v>HERRAMIENTA MANUAL</v>
          </cell>
          <cell r="F25">
            <v>5.41</v>
          </cell>
          <cell r="G25">
            <v>234.97</v>
          </cell>
          <cell r="H25">
            <v>234.36</v>
          </cell>
          <cell r="J25">
            <v>2E-3</v>
          </cell>
        </row>
        <row r="26">
          <cell r="C26">
            <v>54</v>
          </cell>
          <cell r="D26" t="str">
            <v>PINTURA LATEX</v>
          </cell>
          <cell r="F26">
            <v>2.7</v>
          </cell>
          <cell r="G26">
            <v>319.18</v>
          </cell>
          <cell r="H26">
            <v>319.07</v>
          </cell>
          <cell r="J26">
            <v>1E-3</v>
          </cell>
          <cell r="K26">
            <v>3.7000000000000005E-2</v>
          </cell>
        </row>
        <row r="28">
          <cell r="C28">
            <v>48</v>
          </cell>
          <cell r="D28" t="str">
            <v>MAQUINARIA Y EQUIPO  NACIONAL</v>
          </cell>
          <cell r="E28" t="str">
            <v>EN</v>
          </cell>
          <cell r="F28">
            <v>100</v>
          </cell>
          <cell r="G28">
            <v>302.56</v>
          </cell>
          <cell r="H28">
            <v>301.64999999999998</v>
          </cell>
          <cell r="I28">
            <v>0.26</v>
          </cell>
          <cell r="J28">
            <v>0.25900000000000001</v>
          </cell>
          <cell r="K28">
            <v>0.25900000000000001</v>
          </cell>
        </row>
        <row r="30">
          <cell r="C30">
            <v>49</v>
          </cell>
          <cell r="D30" t="str">
            <v>MAQUINARIA Y EQUIPO  IMPORTADO</v>
          </cell>
          <cell r="E30" t="str">
            <v>EI</v>
          </cell>
          <cell r="F30">
            <v>100</v>
          </cell>
          <cell r="G30">
            <v>278.75</v>
          </cell>
          <cell r="H30">
            <v>377.37</v>
          </cell>
          <cell r="I30">
            <v>0.434</v>
          </cell>
          <cell r="J30">
            <v>0.58799999999999997</v>
          </cell>
          <cell r="K30">
            <v>0.58799999999999997</v>
          </cell>
        </row>
        <row r="32">
          <cell r="C32" t="str">
            <v>39</v>
          </cell>
          <cell r="D32" t="str">
            <v>INDICE GENERAL DE PRECIOS CONSUMIDOR</v>
          </cell>
          <cell r="E32" t="str">
            <v>GGU</v>
          </cell>
          <cell r="F32">
            <v>100</v>
          </cell>
          <cell r="G32">
            <v>290.49</v>
          </cell>
          <cell r="H32">
            <v>292.74</v>
          </cell>
          <cell r="I32">
            <v>0.124</v>
          </cell>
          <cell r="J32">
            <v>0.125</v>
          </cell>
          <cell r="K32">
            <v>0.125</v>
          </cell>
        </row>
        <row r="34">
          <cell r="D34" t="str">
            <v>K</v>
          </cell>
          <cell r="K34">
            <v>1.1579999999999999</v>
          </cell>
        </row>
        <row r="41">
          <cell r="M41" t="str">
            <v>OBRA :</v>
          </cell>
          <cell r="N41" t="str">
            <v xml:space="preserve"> Rehabilitación del Caminos Vecinal : Acceso a Cupi</v>
          </cell>
          <cell r="S41" t="str">
            <v>Mes Base - Junio 2003</v>
          </cell>
        </row>
        <row r="42">
          <cell r="N42" t="str">
            <v>Departamento de Puno</v>
          </cell>
          <cell r="S42" t="str">
            <v>Area Geográfica 6</v>
          </cell>
        </row>
        <row r="43">
          <cell r="M43" t="str">
            <v>Contrato</v>
          </cell>
          <cell r="N43" t="str">
            <v>834-2003-MTC/21</v>
          </cell>
        </row>
        <row r="46">
          <cell r="M46" t="str">
            <v xml:space="preserve">             K = 0.067Jr/Jo + 0.107 CAMr/CAMo + 0.253 ENr/ENo + 0.460 EIr/EIo + 0.113 GGUr/GGUo</v>
          </cell>
        </row>
        <row r="48">
          <cell r="Q48" t="str">
            <v xml:space="preserve">       INDICE</v>
          </cell>
        </row>
        <row r="49">
          <cell r="M49" t="str">
            <v>CODIGO</v>
          </cell>
          <cell r="N49" t="str">
            <v>DESCRIPCION</v>
          </cell>
          <cell r="O49" t="str">
            <v>NOMENC.</v>
          </cell>
          <cell r="P49" t="str">
            <v>INCID.</v>
          </cell>
          <cell r="S49" t="str">
            <v>COEFIC.</v>
          </cell>
          <cell r="T49" t="str">
            <v>PARCIAL</v>
          </cell>
          <cell r="U49" t="str">
            <v>K</v>
          </cell>
        </row>
        <row r="50">
          <cell r="Q50" t="str">
            <v>AGO. 03</v>
          </cell>
          <cell r="R50" t="str">
            <v>NOV.03</v>
          </cell>
        </row>
        <row r="52">
          <cell r="M52" t="str">
            <v>47</v>
          </cell>
          <cell r="N52" t="str">
            <v>MANO DE OBRA</v>
          </cell>
          <cell r="O52" t="str">
            <v>J</v>
          </cell>
          <cell r="P52">
            <v>100</v>
          </cell>
          <cell r="Q52">
            <v>292.52999999999997</v>
          </cell>
          <cell r="R52">
            <v>309.81</v>
          </cell>
          <cell r="S52">
            <v>6.7000000000000004E-2</v>
          </cell>
          <cell r="T52">
            <v>7.0999999999999994E-2</v>
          </cell>
          <cell r="U52">
            <v>7.0999999999999994E-2</v>
          </cell>
        </row>
        <row r="54">
          <cell r="M54" t="str">
            <v>02</v>
          </cell>
          <cell r="N54" t="str">
            <v>ACERO DE CONSTRUCCION LISO</v>
          </cell>
          <cell r="O54" t="str">
            <v>CAM</v>
          </cell>
          <cell r="P54">
            <v>21.5</v>
          </cell>
          <cell r="Q54">
            <v>279.39</v>
          </cell>
          <cell r="R54">
            <v>279.14999999999998</v>
          </cell>
          <cell r="S54">
            <v>0.107</v>
          </cell>
          <cell r="T54">
            <v>2.3E-2</v>
          </cell>
        </row>
        <row r="55">
          <cell r="M55">
            <v>21</v>
          </cell>
          <cell r="N55" t="str">
            <v>CEMENTO PORTLAND TIPO I</v>
          </cell>
          <cell r="P55">
            <v>61.68</v>
          </cell>
          <cell r="Q55">
            <v>356.58</v>
          </cell>
          <cell r="R55">
            <v>375.29</v>
          </cell>
          <cell r="T55">
            <v>6.9000000000000006E-2</v>
          </cell>
        </row>
        <row r="56">
          <cell r="M56">
            <v>45</v>
          </cell>
          <cell r="N56" t="str">
            <v>MADERA TERCIADA PARA ENCOFRADO</v>
          </cell>
          <cell r="P56">
            <v>16.82</v>
          </cell>
          <cell r="Q56">
            <v>247.38</v>
          </cell>
          <cell r="R56">
            <v>246.56</v>
          </cell>
          <cell r="T56">
            <v>1.7999999999999999E-2</v>
          </cell>
          <cell r="U56">
            <v>0.11</v>
          </cell>
        </row>
        <row r="58">
          <cell r="M58">
            <v>48</v>
          </cell>
          <cell r="N58" t="str">
            <v>MAQUINARIA Y EQUIPO NACIONAL</v>
          </cell>
          <cell r="O58" t="str">
            <v>EN</v>
          </cell>
          <cell r="P58">
            <v>100</v>
          </cell>
          <cell r="Q58">
            <v>302.56</v>
          </cell>
          <cell r="R58">
            <v>301.64999999999998</v>
          </cell>
          <cell r="S58">
            <v>0.253</v>
          </cell>
          <cell r="T58">
            <v>0.252</v>
          </cell>
          <cell r="U58">
            <v>0.252</v>
          </cell>
        </row>
        <row r="60">
          <cell r="M60">
            <v>49</v>
          </cell>
          <cell r="N60" t="str">
            <v>MAQUINARIA Y EQUIPO  IMPORTADO</v>
          </cell>
          <cell r="O60" t="str">
            <v>EI</v>
          </cell>
          <cell r="P60">
            <v>100</v>
          </cell>
          <cell r="Q60">
            <v>278.75</v>
          </cell>
          <cell r="R60">
            <v>377.37</v>
          </cell>
          <cell r="S60">
            <v>0.46</v>
          </cell>
          <cell r="T60">
            <v>0.623</v>
          </cell>
          <cell r="U60">
            <v>0.623</v>
          </cell>
        </row>
        <row r="62">
          <cell r="M62" t="str">
            <v>39</v>
          </cell>
          <cell r="N62" t="str">
            <v>INDICE GENERAL DE PRECIOS CONSUMIDOR</v>
          </cell>
          <cell r="O62" t="str">
            <v>GGU</v>
          </cell>
          <cell r="P62">
            <v>100</v>
          </cell>
          <cell r="Q62">
            <v>290.49</v>
          </cell>
          <cell r="R62">
            <v>292.74</v>
          </cell>
          <cell r="S62">
            <v>0.113</v>
          </cell>
          <cell r="T62">
            <v>0.114</v>
          </cell>
          <cell r="U62">
            <v>0.114</v>
          </cell>
        </row>
        <row r="64">
          <cell r="N64" t="str">
            <v>K</v>
          </cell>
          <cell r="U64">
            <v>1.1700000000000002</v>
          </cell>
        </row>
        <row r="69">
          <cell r="N69" t="str">
            <v>PROVIAS RURAL</v>
          </cell>
          <cell r="S69" t="str">
            <v xml:space="preserve">    FORMULA </v>
          </cell>
        </row>
        <row r="70">
          <cell r="S70" t="str">
            <v>POLINOMICA</v>
          </cell>
        </row>
        <row r="72">
          <cell r="M72" t="str">
            <v>OBRA :</v>
          </cell>
          <cell r="N72" t="str">
            <v xml:space="preserve"> Rehabilitación del Caminos Vecinal : Acceso Chuquibambilla - Huamanruro</v>
          </cell>
          <cell r="S72" t="str">
            <v>Mes Base - Junio 2003</v>
          </cell>
        </row>
        <row r="73">
          <cell r="N73" t="str">
            <v>Departamento de Puno</v>
          </cell>
          <cell r="S73" t="str">
            <v>Area Geográfica 6</v>
          </cell>
        </row>
        <row r="74">
          <cell r="M74" t="str">
            <v>Contrato</v>
          </cell>
          <cell r="N74" t="str">
            <v>834-2003-MTC/21</v>
          </cell>
        </row>
        <row r="77">
          <cell r="M77" t="str">
            <v xml:space="preserve">             K = 0.071Jr/Jo + 0.127 CAMr/CAMo + 0.253 ENr/ENo + 0.435 EIr/EIo + 0.114 GGUr/GGUo</v>
          </cell>
        </row>
        <row r="79">
          <cell r="Q79" t="str">
            <v xml:space="preserve">       INDICE</v>
          </cell>
        </row>
        <row r="80">
          <cell r="M80" t="str">
            <v>CODIGO</v>
          </cell>
          <cell r="N80" t="str">
            <v>DESCRIPCION</v>
          </cell>
          <cell r="O80" t="str">
            <v>NOMENC.</v>
          </cell>
          <cell r="P80" t="str">
            <v>INCID.</v>
          </cell>
          <cell r="S80" t="str">
            <v>COEFIC.</v>
          </cell>
          <cell r="T80" t="str">
            <v>PARCIAL</v>
          </cell>
          <cell r="U80" t="str">
            <v>K</v>
          </cell>
        </row>
        <row r="81">
          <cell r="Q81" t="str">
            <v>AGO. 03</v>
          </cell>
          <cell r="R81" t="str">
            <v>NOV.03</v>
          </cell>
        </row>
        <row r="83">
          <cell r="M83" t="str">
            <v>47</v>
          </cell>
          <cell r="N83" t="str">
            <v>MANO DE OBRA</v>
          </cell>
          <cell r="O83" t="str">
            <v>J</v>
          </cell>
          <cell r="P83">
            <v>100</v>
          </cell>
          <cell r="Q83">
            <v>292.52999999999997</v>
          </cell>
          <cell r="R83">
            <v>309.81</v>
          </cell>
          <cell r="S83">
            <v>7.0999999999999994E-2</v>
          </cell>
          <cell r="T83">
            <v>7.4999999999999997E-2</v>
          </cell>
          <cell r="U83">
            <v>7.4999999999999997E-2</v>
          </cell>
        </row>
        <row r="85">
          <cell r="M85" t="str">
            <v>02</v>
          </cell>
          <cell r="N85" t="str">
            <v>ACERO DE CONSTRUCCION LISO</v>
          </cell>
          <cell r="O85" t="str">
            <v>CAM</v>
          </cell>
          <cell r="P85">
            <v>20.47</v>
          </cell>
          <cell r="Q85">
            <v>279.39</v>
          </cell>
          <cell r="R85">
            <v>279.14999999999998</v>
          </cell>
          <cell r="S85">
            <v>0.127</v>
          </cell>
          <cell r="T85">
            <v>2.5999999999999999E-2</v>
          </cell>
        </row>
        <row r="86">
          <cell r="M86">
            <v>21</v>
          </cell>
          <cell r="N86" t="str">
            <v>CEMENTO PORTLAND TIPO I</v>
          </cell>
          <cell r="P86">
            <v>63.78</v>
          </cell>
          <cell r="Q86">
            <v>356.58</v>
          </cell>
          <cell r="R86">
            <v>375.29</v>
          </cell>
          <cell r="T86">
            <v>8.5000000000000006E-2</v>
          </cell>
        </row>
        <row r="87">
          <cell r="M87">
            <v>45</v>
          </cell>
          <cell r="N87" t="str">
            <v>MADERA TERCIADA PARA ENCOFRADO</v>
          </cell>
          <cell r="P87">
            <v>15.75</v>
          </cell>
          <cell r="Q87">
            <v>247.38</v>
          </cell>
          <cell r="R87">
            <v>246.56</v>
          </cell>
          <cell r="T87">
            <v>0.02</v>
          </cell>
          <cell r="U87">
            <v>0.13100000000000001</v>
          </cell>
        </row>
        <row r="89">
          <cell r="M89">
            <v>48</v>
          </cell>
          <cell r="N89" t="str">
            <v>MAQUINARIA Y EQUIPO NACIONAL</v>
          </cell>
          <cell r="O89" t="str">
            <v>EN</v>
          </cell>
          <cell r="P89">
            <v>100</v>
          </cell>
          <cell r="Q89">
            <v>302.56</v>
          </cell>
          <cell r="R89">
            <v>301.64999999999998</v>
          </cell>
          <cell r="S89">
            <v>0.253</v>
          </cell>
          <cell r="T89">
            <v>0.252</v>
          </cell>
          <cell r="U89">
            <v>0.252</v>
          </cell>
        </row>
        <row r="91">
          <cell r="M91">
            <v>49</v>
          </cell>
          <cell r="N91" t="str">
            <v>MAQUINARIA Y EQUIPO  IMPORTADO</v>
          </cell>
          <cell r="O91" t="str">
            <v>EI</v>
          </cell>
          <cell r="P91">
            <v>100</v>
          </cell>
          <cell r="Q91">
            <v>278.75</v>
          </cell>
          <cell r="R91">
            <v>377.37</v>
          </cell>
          <cell r="S91">
            <v>0.435</v>
          </cell>
          <cell r="T91">
            <v>0.58899999999999997</v>
          </cell>
          <cell r="U91">
            <v>0.58899999999999997</v>
          </cell>
        </row>
        <row r="93">
          <cell r="M93" t="str">
            <v>39</v>
          </cell>
          <cell r="N93" t="str">
            <v>INDICE GENERAL DE PRECIOS CONSUMIDOR</v>
          </cell>
          <cell r="O93" t="str">
            <v>GGU</v>
          </cell>
          <cell r="P93">
            <v>100</v>
          </cell>
          <cell r="Q93">
            <v>290.49</v>
          </cell>
          <cell r="R93">
            <v>292.74</v>
          </cell>
          <cell r="S93">
            <v>0.114</v>
          </cell>
          <cell r="T93">
            <v>0.115</v>
          </cell>
          <cell r="U93">
            <v>0.115</v>
          </cell>
        </row>
        <row r="95">
          <cell r="N95" t="str">
            <v>K</v>
          </cell>
          <cell r="U95">
            <v>1.1619999999999999</v>
          </cell>
        </row>
        <row r="99">
          <cell r="N99" t="str">
            <v>PROVIAS RURAL</v>
          </cell>
          <cell r="S99" t="str">
            <v xml:space="preserve">    FORMULA </v>
          </cell>
        </row>
        <row r="134">
          <cell r="W134" t="str">
            <v>PROVIAS RURAL</v>
          </cell>
        </row>
        <row r="135">
          <cell r="AC135" t="str">
            <v>REAJUSTES Y REINTEGROS</v>
          </cell>
        </row>
        <row r="138">
          <cell r="W138" t="str">
            <v>OBRA  :</v>
          </cell>
          <cell r="X138" t="str">
            <v xml:space="preserve"> Rehabilitación del Camino Vecinal Chuquibambilla-Pte Cupi-LLalli</v>
          </cell>
          <cell r="AC138" t="str">
            <v>CONTRATISTA :</v>
          </cell>
        </row>
        <row r="139">
          <cell r="X139" t="str">
            <v>Departamento de Puno</v>
          </cell>
          <cell r="AC139" t="str">
            <v>CONSORCIO LEO SAC</v>
          </cell>
        </row>
        <row r="140">
          <cell r="W140" t="str">
            <v>L.P. Nº:</v>
          </cell>
          <cell r="X140" t="str">
            <v>0001-2002-OB</v>
          </cell>
          <cell r="AC140" t="str">
            <v>SUPERVISION :</v>
          </cell>
        </row>
        <row r="141">
          <cell r="AC141" t="str">
            <v>CONSORCIO ALTIPLANO</v>
          </cell>
        </row>
        <row r="142">
          <cell r="W142" t="str">
            <v>Fórmula a utilizar :</v>
          </cell>
        </row>
        <row r="143">
          <cell r="AB143" t="str">
            <v xml:space="preserve">  R = Vcr - V</v>
          </cell>
        </row>
        <row r="144">
          <cell r="W144" t="str">
            <v>Vcr = VK - AV/C(K/Ka-1)</v>
          </cell>
        </row>
        <row r="145">
          <cell r="AB145" t="str">
            <v xml:space="preserve">  R = Reajuste de la Valorizacion</v>
          </cell>
        </row>
        <row r="146">
          <cell r="AB146" t="str">
            <v xml:space="preserve">  V = Valorización con precios al mes base</v>
          </cell>
        </row>
        <row r="147">
          <cell r="W147" t="str">
            <v>Vcr = Monto  de  la  valorizacion   mensual</v>
          </cell>
          <cell r="AB147" t="str">
            <v xml:space="preserve">  A = Adelanto otorgado  S/.</v>
          </cell>
          <cell r="AD147">
            <v>0</v>
          </cell>
        </row>
        <row r="148">
          <cell r="W148" t="str">
            <v xml:space="preserve">          reajustada corregida por la deduccion</v>
          </cell>
          <cell r="AB148" t="str">
            <v xml:space="preserve">  C = Monto del contrato S/.</v>
          </cell>
          <cell r="AD148">
            <v>1558374.15</v>
          </cell>
        </row>
        <row r="149">
          <cell r="W149" t="str">
            <v xml:space="preserve">          del reajuste generado por el adelanto</v>
          </cell>
          <cell r="AB149" t="str">
            <v xml:space="preserve">        </v>
          </cell>
        </row>
        <row r="150">
          <cell r="W150" t="str">
            <v xml:space="preserve">          en efectivo  (A/C = </v>
          </cell>
          <cell r="Z150">
            <v>0</v>
          </cell>
          <cell r="AB150" t="str">
            <v xml:space="preserve">  Mes base = Junio 2003 </v>
          </cell>
        </row>
        <row r="153">
          <cell r="W153" t="str">
            <v xml:space="preserve">   VALORIZACION</v>
          </cell>
          <cell r="Y153" t="str">
            <v>MONTO</v>
          </cell>
          <cell r="Z153" t="str">
            <v xml:space="preserve">  COEFICIENTES</v>
          </cell>
          <cell r="AB153" t="str">
            <v>MONTO DE</v>
          </cell>
          <cell r="AC153" t="str">
            <v>MONTO DE</v>
          </cell>
          <cell r="AD153" t="str">
            <v>MONTO DE</v>
          </cell>
        </row>
        <row r="154">
          <cell r="Y154" t="str">
            <v>DE LA</v>
          </cell>
          <cell r="AB154" t="str">
            <v>REAJUSTE</v>
          </cell>
          <cell r="AC154" t="str">
            <v>REAJUSTE</v>
          </cell>
          <cell r="AD154" t="str">
            <v>REAJUSTE</v>
          </cell>
        </row>
        <row r="155">
          <cell r="Y155" t="str">
            <v>VALORIZACION</v>
          </cell>
          <cell r="AB155" t="str">
            <v>MENSUAL</v>
          </cell>
          <cell r="AC155" t="str">
            <v xml:space="preserve">VALORIZACION </v>
          </cell>
          <cell r="AD155" t="str">
            <v xml:space="preserve">PRESENTE </v>
          </cell>
        </row>
        <row r="156">
          <cell r="W156" t="str">
            <v>No</v>
          </cell>
          <cell r="X156" t="str">
            <v>MES</v>
          </cell>
          <cell r="Y156" t="str">
            <v>NETO</v>
          </cell>
          <cell r="Z156" t="str">
            <v>K</v>
          </cell>
          <cell r="AA156" t="str">
            <v>Ka</v>
          </cell>
          <cell r="AB156" t="str">
            <v>CALCULADO</v>
          </cell>
          <cell r="AC156" t="str">
            <v>ANTERIOR</v>
          </cell>
          <cell r="AD156" t="str">
            <v>MES</v>
          </cell>
        </row>
        <row r="159">
          <cell r="W159" t="str">
            <v>01</v>
          </cell>
          <cell r="X159" t="str">
            <v>Dic. 03</v>
          </cell>
          <cell r="Y159" t="e">
            <v>#REF!</v>
          </cell>
          <cell r="Z159">
            <v>1.1579999999999999</v>
          </cell>
          <cell r="AA159">
            <v>1.1579999999999999</v>
          </cell>
          <cell r="AB159" t="e">
            <v>#REF!</v>
          </cell>
          <cell r="AC159">
            <v>0</v>
          </cell>
          <cell r="AD159" t="e">
            <v>#REF!</v>
          </cell>
        </row>
        <row r="160">
          <cell r="Y160" t="e">
            <v>#REF!</v>
          </cell>
          <cell r="Z160">
            <v>1.1700000000000002</v>
          </cell>
          <cell r="AA160">
            <v>1.17</v>
          </cell>
          <cell r="AB160" t="e">
            <v>#REF!</v>
          </cell>
          <cell r="AC160">
            <v>0</v>
          </cell>
          <cell r="AD160" t="e">
            <v>#REF!</v>
          </cell>
        </row>
        <row r="161">
          <cell r="Y161" t="e">
            <v>#REF!</v>
          </cell>
          <cell r="Z161">
            <v>1.1619999999999999</v>
          </cell>
          <cell r="AA161">
            <v>1.1619999999999999</v>
          </cell>
          <cell r="AB161" t="e">
            <v>#REF!</v>
          </cell>
          <cell r="AC161">
            <v>0</v>
          </cell>
          <cell r="AD161" t="e">
            <v>#REF!</v>
          </cell>
        </row>
        <row r="162">
          <cell r="Y162" t="e">
            <v>#REF!</v>
          </cell>
          <cell r="Z162">
            <v>1.0049999999999999</v>
          </cell>
          <cell r="AA162">
            <v>1.0049999999999999</v>
          </cell>
          <cell r="AB162" t="e">
            <v>#REF!</v>
          </cell>
          <cell r="AC162">
            <v>0</v>
          </cell>
          <cell r="AD162" t="e">
            <v>#REF!</v>
          </cell>
        </row>
        <row r="169">
          <cell r="W169" t="str">
            <v xml:space="preserve">        REAJUSTE DEL MES</v>
          </cell>
          <cell r="AD169" t="e">
            <v>#REF!</v>
          </cell>
        </row>
        <row r="173">
          <cell r="AF173" t="str">
            <v>PROVIAS RURAL</v>
          </cell>
          <cell r="AH173" t="str">
            <v xml:space="preserve">RESUMEN  </v>
          </cell>
        </row>
        <row r="174">
          <cell r="AH174" t="str">
            <v>DE LA</v>
          </cell>
          <cell r="AJ174" t="str">
            <v>Contratista :</v>
          </cell>
        </row>
        <row r="175">
          <cell r="AH175" t="str">
            <v>VALORIZACION Nº 01</v>
          </cell>
          <cell r="AJ175" t="str">
            <v>CONSORCIO LEO SAC</v>
          </cell>
        </row>
        <row r="176">
          <cell r="AF176" t="str">
            <v xml:space="preserve"> Rehabilitación del Camino Vecinal Chuquibambilla-Pte Cupi-LLalli</v>
          </cell>
          <cell r="AH176" t="str">
            <v>DICIEMBRE 2003</v>
          </cell>
          <cell r="AJ176" t="str">
            <v>Supervisor :</v>
          </cell>
        </row>
        <row r="177">
          <cell r="AF177" t="str">
            <v xml:space="preserve"> Rehabilitación del Caminos Vecinal : Acceso a Cupi</v>
          </cell>
          <cell r="AJ177" t="str">
            <v>CONSORCIO ALTIPLANO</v>
          </cell>
        </row>
        <row r="178">
          <cell r="AF178" t="str">
            <v xml:space="preserve"> Rehabilitación del Caminos Vecinal : Acceso Chuquibambilla - Huamanruro</v>
          </cell>
          <cell r="AH178" t="str">
            <v xml:space="preserve"> </v>
          </cell>
        </row>
        <row r="180">
          <cell r="AF180" t="str">
            <v>C O N C E P T O</v>
          </cell>
          <cell r="AG180" t="str">
            <v xml:space="preserve">  VALORIZACION ANTERIOR</v>
          </cell>
          <cell r="AI180" t="str">
            <v xml:space="preserve">    VALORIZACION ACTUAL</v>
          </cell>
          <cell r="AK180" t="str">
            <v>VALORIZACION ACUMULADA</v>
          </cell>
        </row>
        <row r="183">
          <cell r="AF183" t="str">
            <v xml:space="preserve">   VALORIZACION CONTRACTUAL</v>
          </cell>
        </row>
        <row r="184">
          <cell r="AF184" t="str">
            <v xml:space="preserve">   Monto Bruto Valorizado</v>
          </cell>
          <cell r="AG184">
            <v>0</v>
          </cell>
          <cell r="AI184">
            <v>125706.77</v>
          </cell>
          <cell r="AK184">
            <v>125706.77</v>
          </cell>
        </row>
        <row r="185">
          <cell r="AF185" t="str">
            <v xml:space="preserve">   Deducciones</v>
          </cell>
        </row>
        <row r="186">
          <cell r="AF186" t="str">
            <v xml:space="preserve">   . Amortizacion de Adelanto Directo  (20.00%)</v>
          </cell>
          <cell r="AH186">
            <v>0</v>
          </cell>
          <cell r="AJ186">
            <v>0</v>
          </cell>
          <cell r="AL186">
            <v>0</v>
          </cell>
        </row>
        <row r="187">
          <cell r="AF187" t="str">
            <v xml:space="preserve">   . Amortizacion de Adelanto por Materiales</v>
          </cell>
          <cell r="AH187">
            <v>0</v>
          </cell>
          <cell r="AJ187">
            <v>0</v>
          </cell>
          <cell r="AL187">
            <v>0</v>
          </cell>
        </row>
        <row r="188">
          <cell r="AF188" t="str">
            <v xml:space="preserve">   Total Deducciones</v>
          </cell>
          <cell r="AH188">
            <v>0</v>
          </cell>
          <cell r="AJ188">
            <v>0</v>
          </cell>
          <cell r="AL188">
            <v>0</v>
          </cell>
        </row>
        <row r="189">
          <cell r="AF189" t="str">
            <v xml:space="preserve">   TOTAL NETO VALORIZACION CONTRACTUAL</v>
          </cell>
          <cell r="AG189">
            <v>0</v>
          </cell>
          <cell r="AI189">
            <v>125706.77</v>
          </cell>
          <cell r="AK189">
            <v>125706.77</v>
          </cell>
        </row>
        <row r="191">
          <cell r="AF191" t="str">
            <v xml:space="preserve">   REAJUSTES Y REINTEGROS</v>
          </cell>
        </row>
        <row r="192">
          <cell r="AF192" t="str">
            <v xml:space="preserve">   Monto Bruto del reajuste</v>
          </cell>
          <cell r="AG192">
            <v>0</v>
          </cell>
          <cell r="AI192" t="e">
            <v>#REF!</v>
          </cell>
          <cell r="AK192" t="e">
            <v>#REF!</v>
          </cell>
        </row>
        <row r="193">
          <cell r="AF193" t="str">
            <v xml:space="preserve">   Deduciones</v>
          </cell>
        </row>
        <row r="194">
          <cell r="AF194" t="str">
            <v xml:space="preserve">   . Deducciones del Reajuste que no corresponde</v>
          </cell>
          <cell r="AH194">
            <v>0</v>
          </cell>
          <cell r="AJ194">
            <v>0</v>
          </cell>
          <cell r="AK194" t="str">
            <v xml:space="preserve"> </v>
          </cell>
          <cell r="AL194">
            <v>0</v>
          </cell>
        </row>
        <row r="195">
          <cell r="AF195" t="str">
            <v xml:space="preserve">   . Otros (Multa mora plazo ejec.)</v>
          </cell>
          <cell r="AH195">
            <v>0</v>
          </cell>
          <cell r="AJ195">
            <v>0</v>
          </cell>
          <cell r="AL195">
            <v>0</v>
          </cell>
        </row>
        <row r="196">
          <cell r="AF196" t="str">
            <v xml:space="preserve">   Total Deducciones</v>
          </cell>
          <cell r="AH196">
            <v>0</v>
          </cell>
          <cell r="AJ196">
            <v>0</v>
          </cell>
          <cell r="AL196">
            <v>0</v>
          </cell>
        </row>
        <row r="197">
          <cell r="AF197" t="str">
            <v xml:space="preserve">   TOTAL NETO REAJUSTE CONTRACTUAL</v>
          </cell>
          <cell r="AG197">
            <v>0</v>
          </cell>
          <cell r="AI197" t="e">
            <v>#REF!</v>
          </cell>
          <cell r="AK197" t="e">
            <v>#REF!</v>
          </cell>
        </row>
        <row r="200">
          <cell r="AF200" t="str">
            <v xml:space="preserve">   TOTAL NETO GENERAL</v>
          </cell>
          <cell r="AG200">
            <v>0</v>
          </cell>
          <cell r="AI200" t="e">
            <v>#REF!</v>
          </cell>
          <cell r="AK200" t="e">
            <v>#REF!</v>
          </cell>
        </row>
        <row r="201">
          <cell r="AF201" t="str">
            <v xml:space="preserve">   IGV(19% de Total neto ) </v>
          </cell>
          <cell r="AG201">
            <v>0</v>
          </cell>
          <cell r="AI201" t="e">
            <v>#REF!</v>
          </cell>
          <cell r="AK201" t="e">
            <v>#REF!</v>
          </cell>
        </row>
        <row r="203">
          <cell r="AF203" t="str">
            <v xml:space="preserve">    TOTAL DE LA VALORIZACION</v>
          </cell>
          <cell r="AG203">
            <v>0</v>
          </cell>
          <cell r="AI203" t="e">
            <v>#REF!</v>
          </cell>
          <cell r="AK203" t="e">
            <v>#REF!</v>
          </cell>
        </row>
        <row r="207">
          <cell r="AN207" t="str">
            <v>PROPIETARIO   : PROVIAS RURAL</v>
          </cell>
        </row>
        <row r="208">
          <cell r="AN208" t="str">
            <v>OBRA : REHABILITACION DEL CAMINO VECINAL : CHUQUIBAMBILLA-PTE CUPI-LLALLI Y OTROS</v>
          </cell>
        </row>
        <row r="209">
          <cell r="AN209" t="str">
            <v>Contratista       : CONSORCIO LEO SAC</v>
          </cell>
        </row>
        <row r="210">
          <cell r="AN210" t="str">
            <v>Supervisor        : CONSORCIO ALTIPLANO</v>
          </cell>
        </row>
        <row r="212">
          <cell r="AN212" t="str">
            <v xml:space="preserve">                     VALORIZACIONES Y REINTEGROS DISCRIMINADOS</v>
          </cell>
        </row>
        <row r="248">
          <cell r="AT248" t="str">
            <v>INVERMET</v>
          </cell>
          <cell r="AY248" t="str">
            <v>D E D U C C I O N   D E   R E A J U S T E   Q U E   N O   C O R R E S P O N D E</v>
          </cell>
        </row>
        <row r="250">
          <cell r="AY250" t="str">
            <v>MATERIAL : AFIRMADO</v>
          </cell>
          <cell r="BB250" t="str">
            <v>ADELANTO</v>
          </cell>
          <cell r="BC250" t="str">
            <v xml:space="preserve">MONTO </v>
          </cell>
          <cell r="BD250" t="str">
            <v>M O N T O  D E F L A T A D O</v>
          </cell>
        </row>
        <row r="251">
          <cell r="AT251" t="str">
            <v>OBRA : TRANSITABILIDAD EN VIAS ALTERNAS AL CORRE-</v>
          </cell>
          <cell r="AY251" t="str">
            <v>INDICE        : 20</v>
          </cell>
          <cell r="BB251" t="str">
            <v xml:space="preserve">Nº      FECHA </v>
          </cell>
          <cell r="BC251" t="str">
            <v>OTORGADO</v>
          </cell>
          <cell r="BD251" t="str">
            <v>ADELANTO</v>
          </cell>
          <cell r="BE251" t="str">
            <v>ACUMULADO</v>
          </cell>
        </row>
        <row r="252">
          <cell r="AU252" t="str">
            <v>DOR VIAL ALMIRANTE MIGUEL GRAU</v>
          </cell>
        </row>
        <row r="253">
          <cell r="BB253" t="str">
            <v>1   31.07.98</v>
          </cell>
          <cell r="BC253">
            <v>85760</v>
          </cell>
          <cell r="BD253">
            <v>78551.81</v>
          </cell>
          <cell r="BE253">
            <v>78551.81</v>
          </cell>
        </row>
        <row r="254">
          <cell r="AT254" t="str">
            <v>L.P. Nº : 0001-2002-OB</v>
          </cell>
        </row>
        <row r="256">
          <cell r="AT256" t="str">
            <v>Contratista :</v>
          </cell>
          <cell r="AV256" t="str">
            <v>RICSA CONT. GENERALES SRL.</v>
          </cell>
        </row>
        <row r="257">
          <cell r="AT257" t="str">
            <v xml:space="preserve">Supervisor : </v>
          </cell>
          <cell r="AV257" t="str">
            <v>Ingº JORGE NAVARRO VALLE</v>
          </cell>
        </row>
        <row r="259">
          <cell r="AT259" t="str">
            <v>VALORIZACION</v>
          </cell>
          <cell r="AV259" t="str">
            <v>MONTO BRUTO</v>
          </cell>
          <cell r="AW259" t="str">
            <v>COEFIC.</v>
          </cell>
          <cell r="AX259" t="str">
            <v>ADELANTO</v>
          </cell>
          <cell r="AZ259" t="str">
            <v>INDICES</v>
          </cell>
          <cell r="BB259" t="str">
            <v xml:space="preserve">MONTO </v>
          </cell>
          <cell r="BC259" t="str">
            <v xml:space="preserve">ADELANTO </v>
          </cell>
          <cell r="BD259" t="str">
            <v xml:space="preserve">SALDO </v>
          </cell>
          <cell r="BE259" t="str">
            <v>DEDUCCION</v>
          </cell>
        </row>
        <row r="260">
          <cell r="BB260" t="str">
            <v>MAXIMO</v>
          </cell>
          <cell r="BC260" t="str">
            <v>POR</v>
          </cell>
          <cell r="BD260" t="str">
            <v>POR</v>
          </cell>
        </row>
        <row r="261">
          <cell r="AT261" t="str">
            <v>No</v>
          </cell>
          <cell r="AU261" t="str">
            <v>Mes</v>
          </cell>
          <cell r="AV261" t="str">
            <v>(1)</v>
          </cell>
          <cell r="AW261" t="str">
            <v>(2)</v>
          </cell>
          <cell r="AX261" t="str">
            <v>(3)=(1)x(2)</v>
          </cell>
          <cell r="AY261" t="str">
            <v>Imo</v>
          </cell>
          <cell r="AZ261" t="str">
            <v>Ima</v>
          </cell>
          <cell r="BA261" t="str">
            <v>Imr</v>
          </cell>
          <cell r="BB261" t="str">
            <v>UTILIZABLE</v>
          </cell>
          <cell r="BC261" t="str">
            <v>UTILIZAR</v>
          </cell>
          <cell r="BD261" t="str">
            <v>DEDUCIR</v>
          </cell>
        </row>
        <row r="262">
          <cell r="AX262" t="str">
            <v xml:space="preserve"> </v>
          </cell>
          <cell r="AY262" t="str">
            <v>(4)</v>
          </cell>
          <cell r="AZ262" t="str">
            <v>(5)</v>
          </cell>
          <cell r="BA262" t="str">
            <v>(6)</v>
          </cell>
          <cell r="BB262" t="str">
            <v>Adelx(4)/(5)</v>
          </cell>
          <cell r="BC262" t="str">
            <v>(7)</v>
          </cell>
          <cell r="BD262" t="str">
            <v>(7) - (3)</v>
          </cell>
          <cell r="BE262" t="str">
            <v>(3)x[(6)-(5)/(4)]</v>
          </cell>
        </row>
        <row r="265">
          <cell r="AT265" t="str">
            <v>01</v>
          </cell>
          <cell r="AU265" t="str">
            <v>Oct.98</v>
          </cell>
          <cell r="AV265">
            <v>26391.95</v>
          </cell>
          <cell r="AW265">
            <v>0.128</v>
          </cell>
          <cell r="AX265">
            <v>3378.17</v>
          </cell>
          <cell r="AY265">
            <v>125.54</v>
          </cell>
          <cell r="AZ265">
            <v>137.06</v>
          </cell>
          <cell r="BA265">
            <v>137.06</v>
          </cell>
          <cell r="BB265">
            <v>78551.81</v>
          </cell>
          <cell r="BC265">
            <v>78551.81</v>
          </cell>
          <cell r="BD265">
            <v>75173.64</v>
          </cell>
          <cell r="BE265">
            <v>0</v>
          </cell>
        </row>
        <row r="266">
          <cell r="AT266" t="str">
            <v>02</v>
          </cell>
          <cell r="AU266" t="str">
            <v>Nov.98</v>
          </cell>
          <cell r="AV266">
            <v>20000</v>
          </cell>
          <cell r="AW266">
            <v>0.128</v>
          </cell>
          <cell r="AX266">
            <v>2560</v>
          </cell>
          <cell r="AY266">
            <v>125.54</v>
          </cell>
          <cell r="AZ266">
            <v>137.06</v>
          </cell>
          <cell r="BA266">
            <v>180</v>
          </cell>
          <cell r="BB266">
            <v>75173.64</v>
          </cell>
          <cell r="BC266">
            <v>75173.64</v>
          </cell>
          <cell r="BD266">
            <v>72613.64</v>
          </cell>
          <cell r="BE266">
            <v>875.63</v>
          </cell>
        </row>
        <row r="275">
          <cell r="AT275" t="str">
            <v>T O T A L</v>
          </cell>
          <cell r="BD275">
            <v>0</v>
          </cell>
          <cell r="BE275">
            <v>875.63</v>
          </cell>
        </row>
        <row r="279">
          <cell r="AT279" t="str">
            <v>INVERMET</v>
          </cell>
          <cell r="AY279" t="str">
            <v>D E D U C C I O N   D E   R E A J U S T E   Q U E   N O   C O R R E S P O N D E</v>
          </cell>
        </row>
        <row r="280">
          <cell r="AT280" t="str">
            <v>Fondo Metropolitano de Inversiones</v>
          </cell>
        </row>
        <row r="281">
          <cell r="AY281" t="str">
            <v>MATERIAL : AFIRMADO</v>
          </cell>
          <cell r="BB281" t="str">
            <v>ADELANTO</v>
          </cell>
          <cell r="BC281" t="str">
            <v xml:space="preserve">MONTO </v>
          </cell>
          <cell r="BD281" t="str">
            <v>M O N T O  D E F L A T A D O</v>
          </cell>
        </row>
        <row r="282">
          <cell r="AT282" t="str">
            <v xml:space="preserve">OBRA : REHABILITACION DE PISTAS Y VEREDAS </v>
          </cell>
          <cell r="AY282" t="str">
            <v>INDICE        : 20</v>
          </cell>
          <cell r="BB282" t="str">
            <v xml:space="preserve">Nº      FECHA </v>
          </cell>
          <cell r="BC282" t="str">
            <v>OTORGADO</v>
          </cell>
          <cell r="BD282" t="str">
            <v>ADELANTO</v>
          </cell>
          <cell r="BE282" t="str">
            <v>ACUMULADO</v>
          </cell>
        </row>
        <row r="283">
          <cell r="AU283" t="str">
            <v>DEL JR. ECUADOR</v>
          </cell>
        </row>
        <row r="284">
          <cell r="AU284" t="str">
            <v>Tramo : Av. Enrique Meiggs - Av. Argentina</v>
          </cell>
          <cell r="BB284" t="str">
            <v>1   31.07.98</v>
          </cell>
          <cell r="BC284">
            <v>85760</v>
          </cell>
          <cell r="BD284">
            <v>78551.81</v>
          </cell>
          <cell r="BE284">
            <v>78551.81</v>
          </cell>
        </row>
        <row r="285">
          <cell r="AT285" t="str">
            <v>AD. Nº : 031</v>
          </cell>
        </row>
        <row r="286">
          <cell r="AT286" t="str">
            <v>Contratista :</v>
          </cell>
        </row>
        <row r="287">
          <cell r="AT287" t="str">
            <v xml:space="preserve">Supervisor : </v>
          </cell>
          <cell r="AV287" t="str">
            <v>Ingº JORGE NAVARRO VALLE</v>
          </cell>
        </row>
        <row r="289">
          <cell r="AT289" t="str">
            <v>VALORIZACION</v>
          </cell>
          <cell r="AV289" t="str">
            <v>MONTO BRUTO</v>
          </cell>
          <cell r="AW289" t="str">
            <v>COEFIC.</v>
          </cell>
          <cell r="AX289" t="str">
            <v>ADELANTO</v>
          </cell>
          <cell r="AZ289" t="str">
            <v>INDICES</v>
          </cell>
          <cell r="BB289" t="str">
            <v xml:space="preserve">MONTO </v>
          </cell>
          <cell r="BC289" t="str">
            <v xml:space="preserve">ADELANTO </v>
          </cell>
          <cell r="BD289" t="str">
            <v xml:space="preserve">SALDO </v>
          </cell>
          <cell r="BE289" t="str">
            <v>DEDUCCION</v>
          </cell>
        </row>
        <row r="290">
          <cell r="BB290" t="str">
            <v>MAXIMO</v>
          </cell>
          <cell r="BC290" t="str">
            <v>POR</v>
          </cell>
          <cell r="BD290" t="str">
            <v>POR</v>
          </cell>
        </row>
        <row r="291">
          <cell r="AT291" t="str">
            <v>No</v>
          </cell>
          <cell r="AU291" t="str">
            <v>Mes</v>
          </cell>
          <cell r="AV291" t="str">
            <v>(1)</v>
          </cell>
          <cell r="AW291" t="str">
            <v>(2)</v>
          </cell>
          <cell r="AX291" t="str">
            <v>(3)=(1)x(2)</v>
          </cell>
          <cell r="AY291" t="str">
            <v>Imo</v>
          </cell>
          <cell r="AZ291" t="str">
            <v>Ima</v>
          </cell>
          <cell r="BA291" t="str">
            <v>Imr</v>
          </cell>
          <cell r="BB291" t="str">
            <v>UTILIZABLE</v>
          </cell>
          <cell r="BC291" t="str">
            <v>UTILIZAR</v>
          </cell>
          <cell r="BD291" t="str">
            <v>DEDUCIR</v>
          </cell>
        </row>
        <row r="292">
          <cell r="AX292" t="str">
            <v xml:space="preserve"> </v>
          </cell>
          <cell r="AY292" t="str">
            <v>(4)</v>
          </cell>
          <cell r="AZ292" t="str">
            <v>(5)</v>
          </cell>
          <cell r="BA292" t="str">
            <v>(6)</v>
          </cell>
          <cell r="BB292" t="str">
            <v>Adelx(4)/(5)</v>
          </cell>
          <cell r="BC292" t="str">
            <v>(7)</v>
          </cell>
          <cell r="BD292" t="str">
            <v>(7) - (3)</v>
          </cell>
          <cell r="BE292" t="str">
            <v>(3)x[(6)-(5)/(4)]</v>
          </cell>
        </row>
        <row r="295">
          <cell r="AT295" t="str">
            <v>01</v>
          </cell>
          <cell r="AU295" t="str">
            <v>Oct.98</v>
          </cell>
          <cell r="AV295">
            <v>26391.95</v>
          </cell>
          <cell r="AW295">
            <v>0.128</v>
          </cell>
          <cell r="AX295">
            <v>3378.17</v>
          </cell>
          <cell r="AY295">
            <v>125.54</v>
          </cell>
          <cell r="AZ295">
            <v>137.06</v>
          </cell>
          <cell r="BA295">
            <v>137.06</v>
          </cell>
          <cell r="BB295">
            <v>78551.81</v>
          </cell>
          <cell r="BC295">
            <v>78551.81</v>
          </cell>
          <cell r="BD295">
            <v>75173.64</v>
          </cell>
          <cell r="BE295">
            <v>0</v>
          </cell>
        </row>
        <row r="296">
          <cell r="AT296" t="str">
            <v>02</v>
          </cell>
          <cell r="AU296" t="str">
            <v>30.11.93</v>
          </cell>
          <cell r="AV296">
            <v>18000</v>
          </cell>
          <cell r="AW296">
            <v>0.128</v>
          </cell>
          <cell r="AX296">
            <v>2304</v>
          </cell>
          <cell r="AY296">
            <v>125.54</v>
          </cell>
          <cell r="AZ296">
            <v>137.06</v>
          </cell>
          <cell r="BA296">
            <v>137.06</v>
          </cell>
          <cell r="BB296">
            <v>75173.64</v>
          </cell>
          <cell r="BC296">
            <v>75173.64</v>
          </cell>
          <cell r="BD296">
            <v>72869.64</v>
          </cell>
          <cell r="BE296">
            <v>0</v>
          </cell>
        </row>
        <row r="309">
          <cell r="BN309" t="str">
            <v xml:space="preserve">       A M O R T I Z A C I O N    D E   M A T E R I A L E S</v>
          </cell>
        </row>
        <row r="310">
          <cell r="BG310" t="str">
            <v>INVERMET</v>
          </cell>
        </row>
        <row r="311">
          <cell r="BG311" t="str">
            <v>Fondo Metropolitano de Inversiones</v>
          </cell>
        </row>
        <row r="313">
          <cell r="BG313" t="str">
            <v>OBRA :</v>
          </cell>
          <cell r="BH313" t="str">
            <v>REHABILITACION DE PISTAS Y VEREDAS DEL JR. ECUADOR</v>
          </cell>
          <cell r="BN313" t="str">
            <v>MATERIAL</v>
          </cell>
          <cell r="BO313" t="str">
            <v xml:space="preserve"> : AFIRMADO</v>
          </cell>
        </row>
        <row r="314">
          <cell r="BH314" t="str">
            <v>Tramo : Av. Enrique Meiggs - Av. Argentina</v>
          </cell>
        </row>
        <row r="315">
          <cell r="BN315" t="str">
            <v>INDICE</v>
          </cell>
          <cell r="BO315" t="str">
            <v>: 4</v>
          </cell>
        </row>
        <row r="316">
          <cell r="BG316" t="str">
            <v>Contratista :</v>
          </cell>
        </row>
        <row r="317">
          <cell r="BG317" t="str">
            <v>Supervisor: INGº JORGE NAVARRO VALLE</v>
          </cell>
        </row>
        <row r="320">
          <cell r="BG320" t="str">
            <v>VAL</v>
          </cell>
          <cell r="BH320" t="str">
            <v xml:space="preserve">MONTO DEL </v>
          </cell>
          <cell r="BJ320" t="str">
            <v>INCID.</v>
          </cell>
          <cell r="BK320" t="str">
            <v>METRADO</v>
          </cell>
          <cell r="BL320" t="str">
            <v>PRECIO</v>
          </cell>
          <cell r="BM320" t="str">
            <v xml:space="preserve">AMORTIZACION </v>
          </cell>
          <cell r="BP320" t="str">
            <v>AMORTIZACION</v>
          </cell>
          <cell r="BQ320" t="str">
            <v>AMORTIZACION</v>
          </cell>
          <cell r="BR320" t="str">
            <v>SALDO</v>
          </cell>
        </row>
        <row r="321">
          <cell r="BG321" t="str">
            <v>No.</v>
          </cell>
          <cell r="BH321" t="str">
            <v>ADELANTO</v>
          </cell>
          <cell r="BI321" t="str">
            <v>PARTIDA</v>
          </cell>
          <cell r="BJ321" t="str">
            <v>UNITARIA</v>
          </cell>
          <cell r="BK321" t="str">
            <v>VALORIZADO</v>
          </cell>
          <cell r="BL321" t="str">
            <v>UNITARIO</v>
          </cell>
          <cell r="BM321" t="str">
            <v>A FECHA DEL</v>
          </cell>
          <cell r="BN321" t="str">
            <v>Imr</v>
          </cell>
          <cell r="BO321" t="str">
            <v>Imo</v>
          </cell>
          <cell r="BP321" t="str">
            <v>PRESENTE</v>
          </cell>
          <cell r="BR321" t="str">
            <v>POR</v>
          </cell>
        </row>
        <row r="322">
          <cell r="BH322" t="str">
            <v>OTORGADO</v>
          </cell>
          <cell r="BL322" t="str">
            <v>BASE</v>
          </cell>
          <cell r="BM322" t="str">
            <v>PPTO BASE</v>
          </cell>
          <cell r="BP322" t="str">
            <v>VALORIZACION</v>
          </cell>
          <cell r="BQ322" t="str">
            <v>ACUMULADA</v>
          </cell>
          <cell r="BR322" t="str">
            <v>AMORTIZAR</v>
          </cell>
        </row>
        <row r="323">
          <cell r="BH323" t="str">
            <v>(1)</v>
          </cell>
          <cell r="BJ323" t="str">
            <v>(2)</v>
          </cell>
          <cell r="BK323" t="str">
            <v>(3)</v>
          </cell>
          <cell r="BL323" t="str">
            <v>(4)</v>
          </cell>
          <cell r="BM323" t="str">
            <v>(5)=(2) (3) (4)</v>
          </cell>
          <cell r="BN323" t="str">
            <v>(6)</v>
          </cell>
          <cell r="BO323" t="str">
            <v>(7)</v>
          </cell>
          <cell r="BP323" t="str">
            <v>(8)=(5) (6)/ (7)</v>
          </cell>
          <cell r="BQ323" t="str">
            <v>(9)</v>
          </cell>
          <cell r="BR323" t="str">
            <v>(10)=(1) - (9)</v>
          </cell>
        </row>
        <row r="325">
          <cell r="BG325" t="str">
            <v>02</v>
          </cell>
          <cell r="BH325">
            <v>85760</v>
          </cell>
          <cell r="BI325" t="str">
            <v>P79017</v>
          </cell>
          <cell r="BJ325">
            <v>0.2</v>
          </cell>
          <cell r="BK325">
            <v>14753</v>
          </cell>
          <cell r="BL325">
            <v>13.5</v>
          </cell>
          <cell r="BM325">
            <v>39833.1</v>
          </cell>
          <cell r="BN325">
            <v>137.06</v>
          </cell>
          <cell r="BO325">
            <v>125.54</v>
          </cell>
          <cell r="BP325">
            <v>43488.33</v>
          </cell>
          <cell r="BQ325">
            <v>43488.33</v>
          </cell>
          <cell r="BR325">
            <v>42271.67</v>
          </cell>
        </row>
        <row r="326">
          <cell r="BG326" t="str">
            <v xml:space="preserve"> </v>
          </cell>
          <cell r="BH326" t="str">
            <v xml:space="preserve"> </v>
          </cell>
          <cell r="BI326" t="str">
            <v xml:space="preserve"> </v>
          </cell>
          <cell r="BJ326" t="str">
            <v xml:space="preserve"> </v>
          </cell>
          <cell r="BK326" t="str">
            <v xml:space="preserve"> </v>
          </cell>
          <cell r="BL326" t="str">
            <v xml:space="preserve"> </v>
          </cell>
          <cell r="BM326" t="str">
            <v xml:space="preserve"> </v>
          </cell>
          <cell r="BN326" t="str">
            <v xml:space="preserve"> </v>
          </cell>
          <cell r="BO326" t="str">
            <v xml:space="preserve"> </v>
          </cell>
          <cell r="BP326" t="str">
            <v xml:space="preserve"> </v>
          </cell>
          <cell r="BQ326" t="str">
            <v xml:space="preserve"> </v>
          </cell>
          <cell r="BR326" t="str">
            <v xml:space="preserve"> </v>
          </cell>
        </row>
        <row r="327">
          <cell r="BG327" t="str">
            <v xml:space="preserve"> </v>
          </cell>
          <cell r="BI327" t="str">
            <v xml:space="preserve"> </v>
          </cell>
          <cell r="BJ327" t="str">
            <v xml:space="preserve"> </v>
          </cell>
          <cell r="BK327" t="str">
            <v xml:space="preserve"> </v>
          </cell>
          <cell r="BL327" t="str">
            <v xml:space="preserve"> </v>
          </cell>
          <cell r="BM327" t="str">
            <v xml:space="preserve"> </v>
          </cell>
        </row>
        <row r="328">
          <cell r="BL328" t="str">
            <v xml:space="preserve"> </v>
          </cell>
          <cell r="BM328" t="str">
            <v xml:space="preserve"> </v>
          </cell>
          <cell r="BN328" t="str">
            <v xml:space="preserve"> </v>
          </cell>
          <cell r="BO328" t="str">
            <v xml:space="preserve"> </v>
          </cell>
          <cell r="BP328" t="str">
            <v xml:space="preserve"> </v>
          </cell>
          <cell r="BQ328" t="str">
            <v xml:space="preserve"> </v>
          </cell>
          <cell r="BR328" t="str">
            <v xml:space="preserve"> </v>
          </cell>
        </row>
        <row r="331">
          <cell r="BG331" t="str">
            <v>TOTALES</v>
          </cell>
          <cell r="BR331">
            <v>42271.67</v>
          </cell>
        </row>
        <row r="334">
          <cell r="BN334" t="str">
            <v xml:space="preserve">       A M O R T I Z A C I O N    D E   M A T E R I A L E S</v>
          </cell>
        </row>
        <row r="335">
          <cell r="BG335" t="str">
            <v>INVERMET</v>
          </cell>
        </row>
        <row r="336">
          <cell r="BG336" t="str">
            <v>FONDO METROPOLITANO DE INVERSIONES</v>
          </cell>
        </row>
        <row r="338">
          <cell r="BG338" t="str">
            <v>OBRA :</v>
          </cell>
          <cell r="BN338" t="str">
            <v>MATERIAL</v>
          </cell>
          <cell r="BO338" t="str">
            <v xml:space="preserve"> : AFIRMADO</v>
          </cell>
        </row>
        <row r="340">
          <cell r="BN340" t="str">
            <v>INDICE</v>
          </cell>
          <cell r="BO340" t="str">
            <v>: 4</v>
          </cell>
        </row>
        <row r="341">
          <cell r="BG341" t="str">
            <v>Contratista :</v>
          </cell>
        </row>
        <row r="342">
          <cell r="BG342" t="str">
            <v>Supervisor: EICA Consultores S.A.</v>
          </cell>
        </row>
        <row r="345">
          <cell r="BG345" t="str">
            <v>VAL</v>
          </cell>
          <cell r="BH345" t="str">
            <v xml:space="preserve">MONTO DEL </v>
          </cell>
          <cell r="BJ345" t="str">
            <v>INCID.</v>
          </cell>
          <cell r="BK345" t="str">
            <v>METRADO</v>
          </cell>
          <cell r="BL345" t="str">
            <v>PRECIO</v>
          </cell>
          <cell r="BM345" t="str">
            <v xml:space="preserve">AMORTIZACION </v>
          </cell>
          <cell r="BP345" t="str">
            <v>AMORTIZACION</v>
          </cell>
          <cell r="BQ345" t="str">
            <v>AMORTIZACION</v>
          </cell>
          <cell r="BR345" t="str">
            <v>SALDO</v>
          </cell>
        </row>
        <row r="346">
          <cell r="BG346" t="str">
            <v>No.</v>
          </cell>
          <cell r="BH346" t="str">
            <v>ADELANTO</v>
          </cell>
          <cell r="BI346" t="str">
            <v>PARTIDA</v>
          </cell>
          <cell r="BJ346" t="str">
            <v>UNITARIA</v>
          </cell>
          <cell r="BK346" t="str">
            <v>VALORIZADO</v>
          </cell>
          <cell r="BL346" t="str">
            <v>UNITARIO</v>
          </cell>
          <cell r="BM346" t="str">
            <v>A FECHA DEL</v>
          </cell>
          <cell r="BN346" t="str">
            <v>Imr</v>
          </cell>
          <cell r="BO346" t="str">
            <v>Imo</v>
          </cell>
          <cell r="BP346" t="str">
            <v>PRESENTE</v>
          </cell>
          <cell r="BR346" t="str">
            <v>POR</v>
          </cell>
        </row>
        <row r="347">
          <cell r="BH347" t="str">
            <v>OTORGADO</v>
          </cell>
          <cell r="BL347" t="str">
            <v>BASE</v>
          </cell>
          <cell r="BM347" t="str">
            <v>PPTO BASE</v>
          </cell>
          <cell r="BP347" t="str">
            <v>VALORIZACION</v>
          </cell>
          <cell r="BQ347" t="str">
            <v>ACUMULADA</v>
          </cell>
          <cell r="BR347" t="str">
            <v>AMORTIZAR</v>
          </cell>
        </row>
        <row r="348">
          <cell r="BH348" t="str">
            <v>(1)</v>
          </cell>
          <cell r="BJ348" t="str">
            <v>(2)</v>
          </cell>
          <cell r="BK348" t="str">
            <v>(3)</v>
          </cell>
          <cell r="BL348" t="str">
            <v>(4)</v>
          </cell>
          <cell r="BM348" t="str">
            <v>(5)=(2) (3) (4)</v>
          </cell>
          <cell r="BN348" t="str">
            <v>(6)</v>
          </cell>
          <cell r="BO348" t="str">
            <v>(7)</v>
          </cell>
          <cell r="BP348" t="str">
            <v>(8)=(5) (6)/ (7)</v>
          </cell>
          <cell r="BQ348" t="str">
            <v>(9)</v>
          </cell>
          <cell r="BR348" t="str">
            <v>(10)=(1) - (9)</v>
          </cell>
        </row>
        <row r="350">
          <cell r="BG350" t="str">
            <v>02</v>
          </cell>
          <cell r="BH350">
            <v>85760</v>
          </cell>
          <cell r="BI350" t="str">
            <v>P79017</v>
          </cell>
          <cell r="BJ350">
            <v>0.2</v>
          </cell>
          <cell r="BK350">
            <v>14753</v>
          </cell>
          <cell r="BL350">
            <v>13.5</v>
          </cell>
          <cell r="BM350">
            <v>39833.1</v>
          </cell>
          <cell r="BN350">
            <v>137.06</v>
          </cell>
          <cell r="BO350">
            <v>125.54</v>
          </cell>
          <cell r="BP350">
            <v>43488.33</v>
          </cell>
          <cell r="BQ350">
            <v>43488.33</v>
          </cell>
          <cell r="BR350">
            <v>42271.67</v>
          </cell>
        </row>
        <row r="351">
          <cell r="BG351" t="str">
            <v xml:space="preserve"> </v>
          </cell>
          <cell r="BH351" t="str">
            <v xml:space="preserve"> </v>
          </cell>
          <cell r="BI351" t="str">
            <v xml:space="preserve"> </v>
          </cell>
          <cell r="BJ351" t="str">
            <v xml:space="preserve"> </v>
          </cell>
          <cell r="BK351" t="str">
            <v xml:space="preserve"> </v>
          </cell>
          <cell r="BL351" t="str">
            <v xml:space="preserve"> </v>
          </cell>
          <cell r="BM351" t="str">
            <v xml:space="preserve"> </v>
          </cell>
          <cell r="BN351" t="str">
            <v xml:space="preserve"> </v>
          </cell>
          <cell r="BO351" t="str">
            <v xml:space="preserve"> </v>
          </cell>
          <cell r="BP351" t="str">
            <v xml:space="preserve"> </v>
          </cell>
          <cell r="BQ351" t="str">
            <v xml:space="preserve"> </v>
          </cell>
          <cell r="BR351" t="str">
            <v xml:space="preserve"> </v>
          </cell>
        </row>
        <row r="352">
          <cell r="BG352" t="str">
            <v xml:space="preserve"> </v>
          </cell>
          <cell r="BI352" t="str">
            <v xml:space="preserve"> </v>
          </cell>
          <cell r="BJ352" t="str">
            <v xml:space="preserve"> </v>
          </cell>
          <cell r="BK352" t="str">
            <v xml:space="preserve"> </v>
          </cell>
          <cell r="BL352" t="str">
            <v xml:space="preserve"> </v>
          </cell>
          <cell r="BM352" t="str">
            <v xml:space="preserve"> </v>
          </cell>
        </row>
        <row r="353">
          <cell r="BL353" t="str">
            <v xml:space="preserve"> </v>
          </cell>
          <cell r="BM353" t="str">
            <v xml:space="preserve"> </v>
          </cell>
          <cell r="BN353" t="str">
            <v xml:space="preserve"> </v>
          </cell>
          <cell r="BO353" t="str">
            <v xml:space="preserve"> </v>
          </cell>
          <cell r="BP353" t="str">
            <v xml:space="preserve"> </v>
          </cell>
          <cell r="BQ353" t="str">
            <v xml:space="preserve"> </v>
          </cell>
          <cell r="BR353" t="str">
            <v xml:space="preserve"> 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esupuesto"/>
      <sheetName val="COSTOS UNITARIOS"/>
      <sheetName val="RENDIMIENTO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lidades"/>
      <sheetName val="INST.MODULOS"/>
      <sheetName val="K"/>
      <sheetName val="valoriz"/>
      <sheetName val="Cal.Reint"/>
      <sheetName val="AMORT-AD.EF"/>
      <sheetName val="Ded.Re-Adef"/>
      <sheetName val="AMORT.MAT"/>
      <sheetName val="Penalidad"/>
      <sheetName val="liquidacion de obra"/>
      <sheetName val="Ded-Ad.efect"/>
      <sheetName val="Hoja12"/>
      <sheetName val="Hoja13"/>
      <sheetName val="Hoja14"/>
      <sheetName val="Hoja15"/>
    </sheetNames>
    <sheetDataSet>
      <sheetData sheetId="0" refreshError="1">
        <row r="23">
          <cell r="C23">
            <v>0.85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 GENERALES"/>
      <sheetName val="FICH TECN"/>
      <sheetName val="Hoja3"/>
      <sheetName val="RESUMEN VAL"/>
      <sheetName val="RESUM FINAC"/>
      <sheetName val="VAL"/>
      <sheetName val="HECHOS RELEVANTES"/>
      <sheetName val="DESCP TRABAJ"/>
    </sheetNames>
    <sheetDataSet>
      <sheetData sheetId="0"/>
      <sheetData sheetId="1"/>
      <sheetData sheetId="2"/>
      <sheetData sheetId="3"/>
      <sheetData sheetId="4"/>
      <sheetData sheetId="5">
        <row r="94">
          <cell r="K94">
            <v>81238.694768275876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85"/>
  <sheetViews>
    <sheetView tabSelected="1" view="pageBreakPreview" topLeftCell="D1" zoomScale="85" zoomScaleNormal="100" zoomScaleSheetLayoutView="85" workbookViewId="0">
      <selection activeCell="M13" sqref="M13"/>
    </sheetView>
  </sheetViews>
  <sheetFormatPr baseColWidth="10" defaultRowHeight="12.75"/>
  <cols>
    <col min="1" max="1" width="9.7109375" customWidth="1"/>
    <col min="2" max="2" width="19.42578125" customWidth="1"/>
    <col min="3" max="3" width="21.5703125" customWidth="1"/>
    <col min="4" max="4" width="23.85546875" customWidth="1"/>
    <col min="5" max="5" width="17.42578125" customWidth="1"/>
    <col min="6" max="6" width="15.5703125" customWidth="1"/>
    <col min="7" max="7" width="17.28515625" customWidth="1"/>
    <col min="8" max="8" width="14.5703125" customWidth="1"/>
    <col min="9" max="9" width="15.42578125" customWidth="1"/>
    <col min="10" max="10" width="15.85546875" customWidth="1"/>
    <col min="11" max="11" width="14.5703125" customWidth="1"/>
    <col min="13" max="13" width="11.7109375" bestFit="1" customWidth="1"/>
  </cols>
  <sheetData>
    <row r="1" spans="1:16" ht="35.25" customHeight="1" thickBot="1">
      <c r="A1" s="938" t="s">
        <v>552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40"/>
    </row>
    <row r="2" spans="1:16" ht="23.25" customHeight="1">
      <c r="A2" s="926"/>
      <c r="B2" s="927" t="s">
        <v>551</v>
      </c>
      <c r="C2" s="936" t="s">
        <v>557</v>
      </c>
      <c r="D2" s="936"/>
      <c r="E2" s="936"/>
      <c r="F2" s="936"/>
      <c r="G2" s="936"/>
      <c r="H2" s="928" t="s">
        <v>531</v>
      </c>
      <c r="I2" s="928"/>
      <c r="J2" s="929" t="s">
        <v>532</v>
      </c>
      <c r="K2" s="929"/>
      <c r="L2" s="926"/>
    </row>
    <row r="3" spans="1:16" ht="20.25" customHeight="1">
      <c r="A3" s="930"/>
      <c r="B3" s="931"/>
      <c r="C3" s="937"/>
      <c r="D3" s="937"/>
      <c r="E3" s="937"/>
      <c r="F3" s="937"/>
      <c r="G3" s="937"/>
      <c r="H3" s="928" t="s">
        <v>533</v>
      </c>
      <c r="I3" s="928"/>
      <c r="J3" s="929" t="s">
        <v>558</v>
      </c>
      <c r="K3" s="929"/>
      <c r="L3" s="930"/>
    </row>
    <row r="4" spans="1:16" ht="20.25" customHeight="1">
      <c r="A4" s="959" t="s">
        <v>534</v>
      </c>
      <c r="B4" s="959"/>
      <c r="C4" s="932" t="s">
        <v>560</v>
      </c>
      <c r="D4" s="928"/>
      <c r="E4" s="935"/>
      <c r="F4" s="935"/>
      <c r="G4" s="935"/>
      <c r="H4" s="928" t="s">
        <v>530</v>
      </c>
      <c r="I4" s="928"/>
      <c r="J4" s="929" t="s">
        <v>553</v>
      </c>
      <c r="K4" s="929"/>
      <c r="L4" s="930"/>
    </row>
    <row r="5" spans="1:16" ht="20.25" customHeight="1">
      <c r="A5" s="959" t="s">
        <v>550</v>
      </c>
      <c r="B5" s="959"/>
      <c r="C5" s="932" t="s">
        <v>561</v>
      </c>
      <c r="D5" s="928"/>
      <c r="E5" s="935"/>
      <c r="F5" s="935"/>
      <c r="G5" s="935"/>
      <c r="H5" s="928" t="s">
        <v>535</v>
      </c>
      <c r="I5" s="928"/>
      <c r="J5" s="929" t="s">
        <v>559</v>
      </c>
      <c r="K5" s="929"/>
      <c r="L5" s="930"/>
    </row>
    <row r="6" spans="1:16" ht="20.25" customHeight="1">
      <c r="E6" s="930"/>
      <c r="F6" s="930"/>
      <c r="G6" s="930"/>
      <c r="H6" s="928" t="s">
        <v>565</v>
      </c>
      <c r="I6" s="928"/>
      <c r="J6" s="929" t="s">
        <v>566</v>
      </c>
      <c r="K6" s="929"/>
      <c r="L6" s="930"/>
    </row>
    <row r="7" spans="1:16" ht="20.25" customHeight="1">
      <c r="E7" s="930"/>
      <c r="F7" s="930"/>
      <c r="G7" s="930"/>
      <c r="H7" s="928" t="s">
        <v>567</v>
      </c>
      <c r="I7" s="928"/>
      <c r="J7" s="929" t="s">
        <v>568</v>
      </c>
      <c r="K7" s="929"/>
      <c r="L7" s="930"/>
    </row>
    <row r="8" spans="1:16" ht="21" customHeight="1" thickBot="1">
      <c r="E8" s="930"/>
      <c r="F8" s="930"/>
      <c r="G8" s="930"/>
      <c r="H8" s="928" t="s">
        <v>569</v>
      </c>
      <c r="I8" s="928"/>
      <c r="J8" s="929" t="s">
        <v>570</v>
      </c>
      <c r="K8" s="929"/>
      <c r="L8" s="930"/>
    </row>
    <row r="9" spans="1:16" ht="15.75" customHeight="1">
      <c r="A9" s="943"/>
      <c r="B9" s="944"/>
      <c r="C9" s="947" t="s">
        <v>536</v>
      </c>
      <c r="D9" s="948"/>
      <c r="E9" s="948"/>
      <c r="F9" s="948"/>
      <c r="G9" s="948"/>
      <c r="H9" s="948"/>
      <c r="I9" s="948"/>
      <c r="J9" s="948"/>
      <c r="K9" s="949"/>
      <c r="L9" s="890"/>
    </row>
    <row r="10" spans="1:16" ht="15" customHeight="1" thickBot="1">
      <c r="A10" s="945"/>
      <c r="B10" s="946"/>
      <c r="C10" s="950" t="s">
        <v>537</v>
      </c>
      <c r="D10" s="951"/>
      <c r="E10" s="952"/>
      <c r="F10" s="953" t="s">
        <v>538</v>
      </c>
      <c r="G10" s="954"/>
      <c r="H10" s="955"/>
      <c r="I10" s="956" t="s">
        <v>539</v>
      </c>
      <c r="J10" s="957"/>
      <c r="K10" s="958"/>
      <c r="L10" s="891"/>
    </row>
    <row r="11" spans="1:16" ht="26.25" thickBot="1">
      <c r="A11" s="892" t="s">
        <v>540</v>
      </c>
      <c r="B11" s="893" t="s">
        <v>541</v>
      </c>
      <c r="C11" s="923" t="s">
        <v>542</v>
      </c>
      <c r="D11" s="923" t="s">
        <v>543</v>
      </c>
      <c r="E11" s="923" t="s">
        <v>544</v>
      </c>
      <c r="F11" s="922" t="s">
        <v>542</v>
      </c>
      <c r="G11" s="922" t="s">
        <v>545</v>
      </c>
      <c r="H11" s="922" t="s">
        <v>544</v>
      </c>
      <c r="I11" s="924" t="s">
        <v>542</v>
      </c>
      <c r="J11" s="924" t="s">
        <v>546</v>
      </c>
      <c r="K11" s="925" t="s">
        <v>544</v>
      </c>
      <c r="L11" s="894" t="s">
        <v>549</v>
      </c>
    </row>
    <row r="12" spans="1:16">
      <c r="A12" s="895"/>
      <c r="B12" s="896" t="s">
        <v>547</v>
      </c>
      <c r="C12" s="897">
        <v>0</v>
      </c>
      <c r="D12" s="898">
        <v>0</v>
      </c>
      <c r="E12" s="898">
        <v>0</v>
      </c>
      <c r="F12" s="899">
        <v>0</v>
      </c>
      <c r="G12" s="900">
        <v>0</v>
      </c>
      <c r="H12" s="900">
        <v>0</v>
      </c>
      <c r="I12" s="897">
        <v>0</v>
      </c>
      <c r="J12" s="900">
        <v>0</v>
      </c>
      <c r="K12" s="901">
        <v>0</v>
      </c>
      <c r="L12" s="902"/>
    </row>
    <row r="13" spans="1:16" ht="14.25">
      <c r="A13" s="903">
        <v>1</v>
      </c>
      <c r="B13" s="904" t="s">
        <v>554</v>
      </c>
      <c r="C13" s="933">
        <v>7500.26</v>
      </c>
      <c r="D13" s="905">
        <f>C13/$C$17</f>
        <v>3.8696148050663993E-2</v>
      </c>
      <c r="E13" s="905">
        <f>+D13</f>
        <v>3.8696148050663993E-2</v>
      </c>
      <c r="F13" s="934">
        <v>11566.9</v>
      </c>
      <c r="G13" s="906">
        <f>+(D17+F13)/C17</f>
        <v>5.9682353816437821E-2</v>
      </c>
      <c r="H13" s="907">
        <f>+G13</f>
        <v>5.9682353816437821E-2</v>
      </c>
      <c r="I13" s="908"/>
      <c r="J13" s="906"/>
      <c r="K13" s="909"/>
      <c r="L13" s="910" t="s">
        <v>562</v>
      </c>
    </row>
    <row r="14" spans="1:16" ht="14.25">
      <c r="A14" s="911">
        <v>2</v>
      </c>
      <c r="B14" s="904" t="s">
        <v>555</v>
      </c>
      <c r="C14" s="933">
        <v>56374.04</v>
      </c>
      <c r="D14" s="905">
        <f>+C14/C17</f>
        <v>0.29085101023885224</v>
      </c>
      <c r="E14" s="905">
        <f>+D13+D14</f>
        <v>0.32954715828951625</v>
      </c>
      <c r="F14" s="899">
        <v>80120.100000000006</v>
      </c>
      <c r="G14" s="906">
        <f>+(D17+F14)/C17</f>
        <v>0.41336939620520552</v>
      </c>
      <c r="H14" s="907">
        <f>+G13+G14</f>
        <v>0.47305175002164335</v>
      </c>
      <c r="I14" s="908"/>
      <c r="J14" s="906"/>
      <c r="K14" s="909"/>
      <c r="L14" s="910"/>
      <c r="M14" s="889"/>
      <c r="P14" s="921"/>
    </row>
    <row r="15" spans="1:16" ht="14.25">
      <c r="A15" s="903">
        <v>3</v>
      </c>
      <c r="B15" s="904" t="s">
        <v>556</v>
      </c>
      <c r="C15" s="933">
        <v>85176.73</v>
      </c>
      <c r="D15" s="905">
        <f>+C15/C17</f>
        <v>0.43945294623805481</v>
      </c>
      <c r="E15" s="905">
        <f>+D13+D14+D15</f>
        <v>0.76900010452757106</v>
      </c>
      <c r="F15" s="899">
        <v>20898.759999999998</v>
      </c>
      <c r="G15" s="906">
        <f>+(D17+F15)/C17</f>
        <v>0.10782828957707402</v>
      </c>
      <c r="H15" s="907">
        <f>+G13+G14+G15</f>
        <v>0.58088003959871737</v>
      </c>
      <c r="I15" s="908"/>
      <c r="J15" s="906"/>
      <c r="K15" s="909"/>
      <c r="L15" s="910"/>
    </row>
    <row r="16" spans="1:16" ht="14.25">
      <c r="A16" s="911">
        <v>4</v>
      </c>
      <c r="B16" s="904" t="s">
        <v>564</v>
      </c>
      <c r="C16" s="933">
        <v>44773.43</v>
      </c>
      <c r="D16" s="905">
        <f>+C16/C17</f>
        <v>0.23099989547242902</v>
      </c>
      <c r="E16" s="905">
        <f>+D13+D14+D15+D16</f>
        <v>1</v>
      </c>
      <c r="F16" s="899">
        <f>+[6]VAL!$K$94</f>
        <v>81238.694768275876</v>
      </c>
      <c r="G16" s="906">
        <f>+(F16+E16)/C17</f>
        <v>0.41914057063941196</v>
      </c>
      <c r="H16" s="907">
        <f>+G16+G15+G14+G13</f>
        <v>1.0000206102381293</v>
      </c>
      <c r="I16" s="908"/>
      <c r="J16" s="906"/>
      <c r="K16" s="909"/>
      <c r="L16" s="910" t="s">
        <v>563</v>
      </c>
    </row>
    <row r="17" spans="1:13" ht="13.5" thickBot="1">
      <c r="A17" s="941" t="s">
        <v>548</v>
      </c>
      <c r="B17" s="942"/>
      <c r="C17" s="912">
        <f>SUM(C13:C16)</f>
        <v>193824.46</v>
      </c>
      <c r="D17" s="913">
        <f>SUM(D12:D16)</f>
        <v>1</v>
      </c>
      <c r="E17" s="914"/>
      <c r="F17" s="915">
        <f>SUM(F12:F16)</f>
        <v>193824.45476827587</v>
      </c>
      <c r="G17" s="916">
        <f>SUM(G12:G16)</f>
        <v>1.0000206102381293</v>
      </c>
      <c r="H17" s="917"/>
      <c r="I17" s="912">
        <f>SUM(I12:I16)</f>
        <v>0</v>
      </c>
      <c r="J17" s="918">
        <f>SUM(J12:J16)</f>
        <v>0</v>
      </c>
      <c r="K17" s="919"/>
      <c r="L17" s="920"/>
    </row>
    <row r="18" spans="1:13">
      <c r="A18" s="884"/>
      <c r="B18" s="884"/>
      <c r="C18" s="885"/>
      <c r="D18" s="884"/>
      <c r="E18" s="884"/>
      <c r="F18" s="886"/>
      <c r="G18" s="884"/>
      <c r="H18" s="884"/>
      <c r="I18" s="884"/>
      <c r="J18" s="884"/>
      <c r="K18" s="884"/>
    </row>
    <row r="19" spans="1:13">
      <c r="A19" s="884"/>
      <c r="B19" s="884"/>
      <c r="C19" s="885"/>
      <c r="D19" s="884"/>
      <c r="E19" s="884" t="s">
        <v>34</v>
      </c>
      <c r="F19" s="885"/>
      <c r="G19" s="884"/>
      <c r="H19" s="884"/>
      <c r="I19" s="884"/>
      <c r="J19" s="884"/>
      <c r="K19" s="884"/>
      <c r="M19" s="889"/>
    </row>
    <row r="20" spans="1:13">
      <c r="A20" s="884"/>
      <c r="B20" s="884"/>
      <c r="C20" s="885"/>
      <c r="D20" s="884"/>
      <c r="E20" s="884"/>
      <c r="F20" s="884"/>
      <c r="G20" s="884"/>
      <c r="H20" s="884"/>
      <c r="I20" s="884"/>
      <c r="J20" s="884"/>
      <c r="K20" s="884"/>
    </row>
    <row r="21" spans="1:13">
      <c r="A21" s="884"/>
      <c r="B21" s="884"/>
      <c r="C21" s="885"/>
      <c r="D21" s="884"/>
      <c r="E21" s="884"/>
      <c r="F21" s="884"/>
      <c r="G21" s="884"/>
      <c r="H21" s="884"/>
      <c r="I21" s="886"/>
      <c r="J21" s="884"/>
      <c r="K21" s="884"/>
    </row>
    <row r="22" spans="1:13">
      <c r="A22" s="884"/>
      <c r="B22" s="884"/>
      <c r="C22" s="885"/>
      <c r="D22" s="884"/>
      <c r="E22" s="884"/>
      <c r="F22" s="884"/>
      <c r="G22" s="884"/>
      <c r="H22" s="884"/>
      <c r="I22" s="884"/>
      <c r="J22" s="884"/>
      <c r="K22" s="884"/>
    </row>
    <row r="23" spans="1:13">
      <c r="A23" s="884"/>
      <c r="B23" s="884"/>
      <c r="C23" s="885"/>
      <c r="D23" s="884"/>
      <c r="E23" s="884"/>
      <c r="F23" s="884"/>
      <c r="G23" s="884"/>
      <c r="H23" s="884"/>
      <c r="I23" s="884"/>
      <c r="J23" s="884"/>
      <c r="K23" s="884"/>
    </row>
    <row r="24" spans="1:13">
      <c r="A24" s="884"/>
      <c r="B24" s="884"/>
      <c r="C24" s="885"/>
      <c r="D24" s="884"/>
      <c r="E24" s="884"/>
      <c r="F24" s="884"/>
      <c r="G24" s="884"/>
      <c r="H24" s="884"/>
      <c r="I24" s="884"/>
      <c r="J24" s="884"/>
      <c r="K24" s="884"/>
    </row>
    <row r="25" spans="1:13">
      <c r="A25" s="884"/>
      <c r="B25" s="884"/>
      <c r="C25" s="885"/>
      <c r="D25" s="884"/>
      <c r="E25" s="884"/>
      <c r="F25" s="884"/>
      <c r="G25" s="884"/>
      <c r="H25" s="884"/>
      <c r="I25" s="884"/>
      <c r="J25" s="884"/>
      <c r="K25" s="884"/>
    </row>
    <row r="26" spans="1:13">
      <c r="A26" s="884"/>
      <c r="B26" s="884"/>
      <c r="C26" s="885"/>
      <c r="D26" s="884"/>
      <c r="E26" s="884"/>
      <c r="F26" s="884"/>
      <c r="G26" s="884"/>
      <c r="H26" s="884"/>
      <c r="I26" s="884"/>
      <c r="J26" s="884"/>
      <c r="K26" s="884"/>
    </row>
    <row r="27" spans="1:13">
      <c r="A27" s="884"/>
      <c r="B27" s="884"/>
      <c r="C27" s="885"/>
      <c r="D27" s="884"/>
      <c r="E27" s="884"/>
      <c r="F27" s="884"/>
      <c r="G27" s="884"/>
      <c r="H27" s="884"/>
      <c r="I27" s="884"/>
      <c r="J27" s="884"/>
      <c r="K27" s="884"/>
    </row>
    <row r="28" spans="1:13">
      <c r="A28" s="884"/>
      <c r="B28" s="884"/>
      <c r="C28" s="885"/>
      <c r="D28" s="884"/>
      <c r="E28" s="884"/>
      <c r="F28" s="884"/>
      <c r="G28" s="884"/>
      <c r="H28" s="884"/>
      <c r="I28" s="884"/>
      <c r="J28" s="884"/>
      <c r="K28" s="884"/>
    </row>
    <row r="29" spans="1:13">
      <c r="A29" s="884"/>
      <c r="B29" s="884"/>
      <c r="C29" s="885"/>
      <c r="D29" s="884"/>
      <c r="E29" s="884"/>
      <c r="F29" s="884"/>
      <c r="G29" s="884"/>
      <c r="H29" s="884"/>
      <c r="I29" s="884"/>
      <c r="J29" s="884"/>
      <c r="K29" s="884"/>
    </row>
    <row r="30" spans="1:13">
      <c r="A30" s="884"/>
      <c r="B30" s="884"/>
      <c r="C30" s="885"/>
      <c r="D30" s="884"/>
      <c r="E30" s="884"/>
      <c r="F30" s="884"/>
      <c r="G30" s="884"/>
      <c r="H30" s="884"/>
      <c r="I30" s="884"/>
      <c r="J30" s="884"/>
      <c r="K30" s="884"/>
    </row>
    <row r="31" spans="1:13">
      <c r="A31" s="884"/>
      <c r="B31" s="884"/>
      <c r="C31" s="885"/>
      <c r="D31" s="884"/>
      <c r="E31" s="884"/>
      <c r="F31" s="884"/>
      <c r="G31" s="884"/>
      <c r="H31" s="884"/>
      <c r="I31" s="884"/>
      <c r="J31" s="884"/>
      <c r="K31" s="884"/>
    </row>
    <row r="32" spans="1:13">
      <c r="A32" s="884"/>
      <c r="B32" s="884"/>
      <c r="C32" s="885"/>
      <c r="D32" s="884"/>
      <c r="E32" s="884"/>
      <c r="F32" s="884"/>
      <c r="G32" s="884"/>
      <c r="H32" s="884"/>
      <c r="I32" s="884"/>
      <c r="J32" s="884"/>
      <c r="K32" s="884"/>
    </row>
    <row r="33" spans="1:11">
      <c r="A33" s="884"/>
      <c r="B33" s="884"/>
      <c r="C33" s="885"/>
      <c r="D33" s="884"/>
      <c r="E33" s="884"/>
      <c r="F33" s="884"/>
      <c r="G33" s="884"/>
      <c r="H33" s="884"/>
      <c r="I33" s="884"/>
      <c r="J33" s="884"/>
      <c r="K33" s="884"/>
    </row>
    <row r="34" spans="1:11">
      <c r="A34" s="884"/>
      <c r="B34" s="884"/>
      <c r="C34" s="885"/>
      <c r="D34" s="884"/>
      <c r="E34" s="884"/>
      <c r="F34" s="884"/>
      <c r="G34" s="884"/>
      <c r="H34" s="884"/>
      <c r="I34" s="884"/>
      <c r="J34" s="884"/>
      <c r="K34" s="884"/>
    </row>
    <row r="35" spans="1:11">
      <c r="A35" s="884"/>
      <c r="B35" s="884"/>
      <c r="C35" s="885"/>
      <c r="D35" s="884"/>
      <c r="E35" s="884"/>
      <c r="F35" s="884"/>
      <c r="G35" s="884"/>
      <c r="H35" s="884"/>
      <c r="I35" s="884"/>
      <c r="J35" s="884"/>
      <c r="K35" s="884"/>
    </row>
    <row r="36" spans="1:11">
      <c r="A36" s="884"/>
      <c r="B36" s="884"/>
      <c r="C36" s="885"/>
      <c r="D36" s="884"/>
      <c r="E36" s="884"/>
      <c r="F36" s="884"/>
      <c r="G36" s="884"/>
      <c r="H36" s="884"/>
      <c r="I36" s="884"/>
      <c r="J36" s="884"/>
      <c r="K36" s="884"/>
    </row>
    <row r="37" spans="1:11">
      <c r="A37" s="884"/>
      <c r="B37" s="884"/>
      <c r="C37" s="885"/>
      <c r="D37" s="884"/>
      <c r="E37" s="884"/>
      <c r="F37" s="884"/>
      <c r="G37" s="884"/>
      <c r="H37" s="884"/>
      <c r="I37" s="884"/>
      <c r="J37" s="884"/>
      <c r="K37" s="884"/>
    </row>
    <row r="38" spans="1:11">
      <c r="A38" s="884"/>
      <c r="B38" s="884"/>
      <c r="C38" s="885"/>
      <c r="D38" s="884"/>
      <c r="E38" s="884"/>
      <c r="F38" s="884"/>
      <c r="G38" s="884"/>
      <c r="H38" s="884"/>
      <c r="I38" s="884"/>
      <c r="J38" s="884"/>
      <c r="K38" s="884"/>
    </row>
    <row r="39" spans="1:11">
      <c r="A39" s="884"/>
      <c r="B39" s="884"/>
      <c r="C39" s="885"/>
      <c r="D39" s="884"/>
      <c r="E39" s="884"/>
      <c r="F39" s="884"/>
      <c r="G39" s="884"/>
      <c r="H39" s="884"/>
      <c r="I39" s="884"/>
      <c r="J39" s="884"/>
      <c r="K39" s="884"/>
    </row>
    <row r="40" spans="1:11">
      <c r="A40" s="884"/>
      <c r="B40" s="884"/>
      <c r="C40" s="885"/>
      <c r="D40" s="884"/>
      <c r="E40" s="884"/>
      <c r="F40" s="884"/>
      <c r="G40" s="884"/>
      <c r="H40" s="884"/>
      <c r="I40" s="884"/>
      <c r="J40" s="884"/>
      <c r="K40" s="884"/>
    </row>
    <row r="41" spans="1:11">
      <c r="A41" s="884"/>
      <c r="B41" s="884"/>
      <c r="C41" s="885"/>
      <c r="D41" s="884"/>
      <c r="E41" s="884"/>
      <c r="F41" s="884"/>
      <c r="G41" s="884"/>
      <c r="H41" s="884"/>
      <c r="I41" s="884"/>
      <c r="J41" s="884"/>
      <c r="K41" s="884"/>
    </row>
    <row r="42" spans="1:11">
      <c r="A42" s="884"/>
      <c r="B42" s="884"/>
      <c r="C42" s="885"/>
      <c r="D42" s="884"/>
      <c r="E42" s="884"/>
      <c r="F42" s="884"/>
      <c r="G42" s="884"/>
      <c r="H42" s="884"/>
      <c r="I42" s="884"/>
      <c r="J42" s="884"/>
      <c r="K42" s="884"/>
    </row>
    <row r="43" spans="1:11">
      <c r="A43" s="884"/>
      <c r="B43" s="884"/>
      <c r="C43" s="885"/>
      <c r="D43" s="884"/>
      <c r="E43" s="884"/>
      <c r="F43" s="884"/>
      <c r="G43" s="884"/>
      <c r="H43" s="884"/>
      <c r="I43" s="884"/>
      <c r="J43" s="884"/>
      <c r="K43" s="884"/>
    </row>
    <row r="44" spans="1:11">
      <c r="A44" s="884"/>
      <c r="B44" s="884"/>
      <c r="C44" s="885"/>
      <c r="D44" s="884"/>
      <c r="E44" s="884"/>
      <c r="F44" s="884"/>
      <c r="G44" s="884"/>
      <c r="H44" s="884"/>
      <c r="I44" s="884"/>
      <c r="J44" s="884"/>
      <c r="K44" s="884"/>
    </row>
    <row r="45" spans="1:11">
      <c r="A45" s="884"/>
      <c r="B45" s="884"/>
      <c r="C45" s="885"/>
      <c r="D45" s="884"/>
      <c r="E45" s="884"/>
      <c r="F45" s="884"/>
      <c r="G45" s="884"/>
      <c r="H45" s="884"/>
      <c r="I45" s="884"/>
      <c r="J45" s="884"/>
      <c r="K45" s="884"/>
    </row>
    <row r="46" spans="1:11">
      <c r="A46" s="884"/>
      <c r="B46" s="884"/>
      <c r="C46" s="885"/>
      <c r="D46" s="884"/>
      <c r="E46" s="884"/>
      <c r="F46" s="884"/>
      <c r="G46" s="884"/>
      <c r="H46" s="884"/>
      <c r="I46" s="884"/>
      <c r="J46" s="884"/>
      <c r="K46" s="884"/>
    </row>
    <row r="47" spans="1:11">
      <c r="A47" s="887"/>
      <c r="B47" s="887"/>
      <c r="C47" s="887"/>
      <c r="D47" s="887"/>
      <c r="E47" s="887"/>
      <c r="F47" s="888"/>
      <c r="G47" s="887"/>
      <c r="H47" s="887"/>
      <c r="I47" s="888"/>
      <c r="J47" s="887"/>
      <c r="K47" s="887"/>
    </row>
    <row r="48" spans="1:11">
      <c r="A48" s="887"/>
      <c r="B48" s="887"/>
      <c r="C48" s="887"/>
      <c r="D48" s="887"/>
      <c r="E48" s="887"/>
      <c r="F48" s="888"/>
      <c r="G48" s="887"/>
      <c r="H48" s="887"/>
      <c r="I48" s="888"/>
      <c r="J48" s="887"/>
      <c r="K48" s="887"/>
    </row>
    <row r="49" spans="1:11">
      <c r="A49" s="887"/>
      <c r="B49" s="887"/>
      <c r="C49" s="887"/>
      <c r="D49" s="887"/>
      <c r="E49" s="887"/>
      <c r="F49" s="888"/>
      <c r="G49" s="887"/>
      <c r="H49" s="887"/>
      <c r="I49" s="888"/>
      <c r="J49" s="887"/>
      <c r="K49" s="887"/>
    </row>
    <row r="50" spans="1:11">
      <c r="A50" s="887"/>
      <c r="B50" s="887"/>
      <c r="C50" s="887"/>
      <c r="D50" s="887"/>
      <c r="E50" s="887"/>
      <c r="F50" s="888"/>
      <c r="G50" s="887"/>
      <c r="H50" s="887"/>
      <c r="I50" s="888"/>
      <c r="J50" s="887"/>
      <c r="K50" s="887"/>
    </row>
    <row r="51" spans="1:11">
      <c r="A51" s="887"/>
      <c r="B51" s="887"/>
      <c r="C51" s="887"/>
      <c r="D51" s="887"/>
      <c r="E51" s="887"/>
      <c r="F51" s="888"/>
      <c r="G51" s="887"/>
      <c r="H51" s="887"/>
      <c r="I51" s="888"/>
      <c r="J51" s="887"/>
      <c r="K51" s="887"/>
    </row>
    <row r="52" spans="1:11">
      <c r="A52" s="887"/>
      <c r="B52" s="887"/>
      <c r="C52" s="887"/>
      <c r="D52" s="887"/>
      <c r="E52" s="887"/>
      <c r="F52" s="888"/>
      <c r="G52" s="887"/>
      <c r="H52" s="887"/>
      <c r="I52" s="888"/>
      <c r="J52" s="887"/>
      <c r="K52" s="887"/>
    </row>
    <row r="53" spans="1:11">
      <c r="A53" s="867"/>
      <c r="B53" s="867"/>
      <c r="C53" s="867"/>
      <c r="D53" s="867"/>
      <c r="E53" s="867"/>
      <c r="F53" s="867"/>
      <c r="G53" s="867"/>
      <c r="H53" s="867"/>
      <c r="I53" s="867"/>
      <c r="J53" s="867"/>
      <c r="K53" s="867"/>
    </row>
    <row r="54" spans="1:11">
      <c r="A54" s="867"/>
      <c r="B54" s="867"/>
      <c r="C54" s="867"/>
      <c r="D54" s="867"/>
      <c r="E54" s="867"/>
      <c r="F54" s="867"/>
      <c r="G54" s="867"/>
      <c r="H54" s="867"/>
      <c r="I54" s="867"/>
      <c r="J54" s="867"/>
      <c r="K54" s="867"/>
    </row>
    <row r="55" spans="1:11">
      <c r="A55" s="867"/>
      <c r="B55" s="867"/>
      <c r="C55" s="867"/>
      <c r="D55" s="867"/>
      <c r="E55" s="867"/>
      <c r="F55" s="867"/>
      <c r="G55" s="867"/>
      <c r="H55" s="867"/>
      <c r="I55" s="867"/>
      <c r="J55" s="867"/>
      <c r="K55" s="867"/>
    </row>
    <row r="56" spans="1:11">
      <c r="A56" s="867"/>
      <c r="B56" s="867"/>
      <c r="C56" s="867"/>
      <c r="D56" s="867"/>
      <c r="E56" s="867"/>
      <c r="F56" s="867"/>
      <c r="G56" s="867"/>
      <c r="H56" s="867"/>
      <c r="I56" s="867"/>
      <c r="J56" s="867"/>
      <c r="K56" s="867"/>
    </row>
    <row r="57" spans="1:11">
      <c r="A57" s="867"/>
      <c r="B57" s="867"/>
      <c r="C57" s="867"/>
      <c r="D57" s="867"/>
      <c r="E57" s="867"/>
      <c r="F57" s="867"/>
      <c r="G57" s="867"/>
      <c r="H57" s="867"/>
      <c r="I57" s="867"/>
      <c r="J57" s="867"/>
      <c r="K57" s="867"/>
    </row>
    <row r="58" spans="1:11">
      <c r="A58" s="867"/>
      <c r="B58" s="867"/>
      <c r="C58" s="867"/>
      <c r="D58" s="867"/>
      <c r="E58" s="867"/>
      <c r="F58" s="867"/>
      <c r="G58" s="867"/>
      <c r="H58" s="867"/>
      <c r="I58" s="867"/>
      <c r="J58" s="867"/>
      <c r="K58" s="867"/>
    </row>
    <row r="59" spans="1:11">
      <c r="A59" s="867"/>
      <c r="B59" s="867"/>
      <c r="C59" s="867"/>
      <c r="D59" s="867"/>
      <c r="E59" s="867"/>
      <c r="F59" s="867"/>
      <c r="G59" s="867"/>
      <c r="H59" s="867"/>
      <c r="I59" s="867"/>
      <c r="J59" s="867"/>
      <c r="K59" s="867"/>
    </row>
    <row r="60" spans="1:11">
      <c r="A60" s="867"/>
      <c r="B60" s="867"/>
      <c r="C60" s="867"/>
      <c r="D60" s="867"/>
      <c r="E60" s="867"/>
      <c r="F60" s="867"/>
      <c r="G60" s="867"/>
      <c r="H60" s="867"/>
      <c r="I60" s="867"/>
      <c r="J60" s="867"/>
      <c r="K60" s="867"/>
    </row>
    <row r="61" spans="1:11">
      <c r="A61" s="867"/>
      <c r="B61" s="867"/>
      <c r="C61" s="867"/>
      <c r="D61" s="867"/>
      <c r="E61" s="867"/>
      <c r="F61" s="867"/>
      <c r="G61" s="867"/>
      <c r="H61" s="867"/>
      <c r="I61" s="867"/>
      <c r="J61" s="867"/>
      <c r="K61" s="867"/>
    </row>
    <row r="62" spans="1:11">
      <c r="A62" s="867"/>
      <c r="B62" s="867"/>
      <c r="C62" s="867"/>
      <c r="D62" s="867"/>
      <c r="E62" s="867"/>
      <c r="F62" s="867"/>
      <c r="G62" s="867"/>
      <c r="H62" s="867"/>
      <c r="I62" s="867"/>
      <c r="J62" s="867"/>
      <c r="K62" s="867"/>
    </row>
    <row r="63" spans="1:11">
      <c r="A63" s="867"/>
      <c r="B63" s="867"/>
      <c r="C63" s="867"/>
      <c r="D63" s="867"/>
      <c r="E63" s="867"/>
      <c r="F63" s="867"/>
      <c r="G63" s="867"/>
      <c r="H63" s="867"/>
      <c r="I63" s="867"/>
      <c r="J63" s="867"/>
      <c r="K63" s="867"/>
    </row>
    <row r="64" spans="1:11">
      <c r="A64" s="867"/>
      <c r="B64" s="867"/>
      <c r="C64" s="867"/>
      <c r="D64" s="867"/>
      <c r="E64" s="867"/>
      <c r="F64" s="867"/>
      <c r="G64" s="867"/>
      <c r="H64" s="867"/>
      <c r="I64" s="867"/>
      <c r="J64" s="867"/>
      <c r="K64" s="867"/>
    </row>
    <row r="65" spans="1:11">
      <c r="A65" s="867"/>
      <c r="B65" s="867"/>
      <c r="C65" s="867"/>
      <c r="D65" s="867"/>
      <c r="E65" s="867"/>
      <c r="F65" s="867"/>
      <c r="G65" s="867"/>
      <c r="H65" s="867"/>
      <c r="I65" s="867"/>
      <c r="J65" s="867"/>
      <c r="K65" s="867"/>
    </row>
    <row r="66" spans="1:11">
      <c r="A66" s="867"/>
      <c r="B66" s="867"/>
      <c r="C66" s="867"/>
      <c r="D66" s="867"/>
      <c r="E66" s="867"/>
      <c r="F66" s="867"/>
      <c r="G66" s="867"/>
      <c r="H66" s="867"/>
      <c r="I66" s="867"/>
      <c r="J66" s="867"/>
      <c r="K66" s="867"/>
    </row>
    <row r="67" spans="1:11">
      <c r="A67" s="867"/>
      <c r="B67" s="867"/>
      <c r="C67" s="867"/>
      <c r="D67" s="867"/>
      <c r="E67" s="867"/>
      <c r="F67" s="867"/>
      <c r="G67" s="867"/>
      <c r="H67" s="867"/>
      <c r="I67" s="867"/>
      <c r="J67" s="867"/>
      <c r="K67" s="867"/>
    </row>
    <row r="68" spans="1:11">
      <c r="A68" s="867"/>
      <c r="B68" s="867"/>
      <c r="C68" s="867"/>
      <c r="D68" s="867"/>
      <c r="E68" s="867"/>
      <c r="F68" s="867"/>
      <c r="G68" s="867"/>
      <c r="H68" s="867"/>
      <c r="I68" s="867"/>
      <c r="J68" s="867"/>
      <c r="K68" s="867"/>
    </row>
    <row r="69" spans="1:11">
      <c r="A69" s="867"/>
      <c r="B69" s="867"/>
      <c r="C69" s="867"/>
      <c r="D69" s="867"/>
      <c r="E69" s="867"/>
      <c r="F69" s="867"/>
      <c r="G69" s="867"/>
      <c r="H69" s="867"/>
      <c r="I69" s="867"/>
      <c r="J69" s="867"/>
      <c r="K69" s="867"/>
    </row>
    <row r="70" spans="1:11">
      <c r="A70" s="867"/>
      <c r="B70" s="867"/>
      <c r="C70" s="867"/>
      <c r="D70" s="867"/>
      <c r="E70" s="867"/>
      <c r="F70" s="867"/>
      <c r="G70" s="867"/>
      <c r="H70" s="867"/>
      <c r="I70" s="867"/>
      <c r="J70" s="867"/>
      <c r="K70" s="867"/>
    </row>
    <row r="71" spans="1:11">
      <c r="A71" s="867"/>
      <c r="B71" s="867"/>
      <c r="C71" s="867"/>
      <c r="D71" s="867"/>
      <c r="E71" s="867"/>
      <c r="F71" s="867"/>
      <c r="G71" s="867"/>
      <c r="H71" s="867"/>
      <c r="I71" s="867"/>
      <c r="J71" s="867"/>
      <c r="K71" s="867"/>
    </row>
    <row r="72" spans="1:11">
      <c r="A72" s="867"/>
      <c r="B72" s="867"/>
      <c r="C72" s="867"/>
      <c r="D72" s="867"/>
      <c r="E72" s="867"/>
      <c r="F72" s="867"/>
      <c r="G72" s="867"/>
      <c r="H72" s="867"/>
      <c r="I72" s="867"/>
      <c r="J72" s="867"/>
      <c r="K72" s="867"/>
    </row>
    <row r="73" spans="1:11">
      <c r="A73" s="867"/>
      <c r="B73" s="867"/>
      <c r="C73" s="867"/>
      <c r="D73" s="867"/>
      <c r="E73" s="867"/>
      <c r="F73" s="867"/>
      <c r="G73" s="867"/>
      <c r="H73" s="867"/>
      <c r="I73" s="867"/>
      <c r="J73" s="867"/>
      <c r="K73" s="867"/>
    </row>
    <row r="74" spans="1:11">
      <c r="A74" s="867"/>
      <c r="B74" s="867"/>
      <c r="C74" s="867"/>
      <c r="D74" s="867"/>
      <c r="E74" s="867"/>
      <c r="F74" s="867"/>
      <c r="G74" s="867"/>
      <c r="H74" s="867"/>
      <c r="I74" s="867"/>
      <c r="J74" s="867"/>
      <c r="K74" s="867"/>
    </row>
    <row r="75" spans="1:11">
      <c r="A75" s="867"/>
      <c r="B75" s="867"/>
      <c r="C75" s="867"/>
      <c r="D75" s="867"/>
      <c r="E75" s="867"/>
      <c r="F75" s="867"/>
      <c r="G75" s="867"/>
      <c r="H75" s="867"/>
      <c r="I75" s="867"/>
      <c r="J75" s="867"/>
      <c r="K75" s="867"/>
    </row>
    <row r="76" spans="1:11">
      <c r="A76" s="867"/>
      <c r="B76" s="867"/>
      <c r="C76" s="867"/>
      <c r="D76" s="867"/>
      <c r="E76" s="867"/>
      <c r="F76" s="867"/>
      <c r="G76" s="867"/>
      <c r="H76" s="867"/>
      <c r="I76" s="867"/>
      <c r="J76" s="867"/>
      <c r="K76" s="867"/>
    </row>
    <row r="77" spans="1:11">
      <c r="A77" s="867"/>
      <c r="B77" s="867"/>
      <c r="C77" s="867"/>
      <c r="D77" s="867"/>
      <c r="E77" s="867"/>
      <c r="F77" s="867"/>
      <c r="G77" s="867"/>
      <c r="H77" s="867"/>
      <c r="I77" s="867"/>
      <c r="J77" s="867"/>
      <c r="K77" s="867"/>
    </row>
    <row r="78" spans="1:11">
      <c r="A78" s="867"/>
      <c r="B78" s="867"/>
      <c r="C78" s="867"/>
      <c r="D78" s="867"/>
      <c r="E78" s="867"/>
      <c r="F78" s="867"/>
      <c r="G78" s="867"/>
      <c r="H78" s="867"/>
      <c r="I78" s="867"/>
      <c r="J78" s="867"/>
      <c r="K78" s="867"/>
    </row>
    <row r="79" spans="1:11">
      <c r="A79" s="867"/>
      <c r="B79" s="867"/>
      <c r="C79" s="867"/>
      <c r="D79" s="867"/>
      <c r="E79" s="867"/>
      <c r="F79" s="867"/>
      <c r="G79" s="867"/>
      <c r="H79" s="867"/>
      <c r="I79" s="867"/>
      <c r="J79" s="867"/>
      <c r="K79" s="867"/>
    </row>
    <row r="80" spans="1:11">
      <c r="A80" s="867"/>
      <c r="B80" s="867"/>
      <c r="C80" s="867"/>
      <c r="D80" s="867"/>
      <c r="E80" s="867"/>
      <c r="F80" s="867"/>
      <c r="G80" s="867"/>
      <c r="H80" s="867"/>
      <c r="I80" s="867"/>
      <c r="J80" s="867"/>
      <c r="K80" s="867"/>
    </row>
    <row r="81" spans="1:11">
      <c r="A81" s="867"/>
      <c r="B81" s="867"/>
      <c r="C81" s="867"/>
      <c r="D81" s="867"/>
      <c r="E81" s="867"/>
      <c r="F81" s="867"/>
      <c r="G81" s="867"/>
      <c r="H81" s="867"/>
      <c r="I81" s="867"/>
      <c r="J81" s="867"/>
      <c r="K81" s="867"/>
    </row>
    <row r="82" spans="1:11">
      <c r="A82" s="867"/>
      <c r="B82" s="867"/>
      <c r="C82" s="867"/>
      <c r="D82" s="867"/>
      <c r="E82" s="867"/>
      <c r="F82" s="867"/>
      <c r="G82" s="867"/>
      <c r="H82" s="867"/>
      <c r="I82" s="867"/>
      <c r="J82" s="867"/>
      <c r="K82" s="867"/>
    </row>
    <row r="83" spans="1:11">
      <c r="A83" s="867"/>
      <c r="B83" s="867"/>
      <c r="C83" s="867"/>
      <c r="D83" s="867"/>
      <c r="E83" s="867"/>
      <c r="F83" s="867"/>
      <c r="G83" s="867"/>
      <c r="H83" s="867"/>
      <c r="I83" s="867"/>
      <c r="J83" s="867"/>
      <c r="K83" s="867"/>
    </row>
    <row r="84" spans="1:11">
      <c r="A84" s="867"/>
      <c r="B84" s="867"/>
      <c r="C84" s="867"/>
      <c r="D84" s="867"/>
      <c r="E84" s="867"/>
      <c r="F84" s="867"/>
      <c r="G84" s="867"/>
      <c r="H84" s="867"/>
      <c r="I84" s="867"/>
      <c r="J84" s="867"/>
      <c r="K84" s="867"/>
    </row>
    <row r="85" spans="1:11">
      <c r="A85" s="867"/>
      <c r="B85" s="867"/>
      <c r="C85" s="867"/>
      <c r="D85" s="867"/>
      <c r="E85" s="867"/>
      <c r="F85" s="867"/>
      <c r="G85" s="867"/>
      <c r="H85" s="867"/>
      <c r="I85" s="867"/>
      <c r="J85" s="867"/>
      <c r="K85" s="867"/>
    </row>
  </sheetData>
  <mergeCells count="10">
    <mergeCell ref="C2:G3"/>
    <mergeCell ref="A1:L1"/>
    <mergeCell ref="A17:B17"/>
    <mergeCell ref="A9:B10"/>
    <mergeCell ref="C9:K9"/>
    <mergeCell ref="C10:E10"/>
    <mergeCell ref="F10:H10"/>
    <mergeCell ref="I10:K10"/>
    <mergeCell ref="A4:B4"/>
    <mergeCell ref="A5:B5"/>
  </mergeCells>
  <printOptions horizontalCentered="1"/>
  <pageMargins left="0.39370078740157483" right="0.39370078740157483" top="0.98425196850393704" bottom="0.78740157480314965" header="0.31496062992125984" footer="0.31496062992125984"/>
  <pageSetup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11"/>
  </sheetPr>
  <dimension ref="A1:AA66"/>
  <sheetViews>
    <sheetView showGridLines="0" topLeftCell="A22" zoomScale="80" zoomScaleNormal="80" workbookViewId="0">
      <selection activeCell="G30" sqref="G30"/>
    </sheetView>
  </sheetViews>
  <sheetFormatPr baseColWidth="10" defaultRowHeight="12.75"/>
  <cols>
    <col min="1" max="1" width="12.42578125" customWidth="1"/>
    <col min="2" max="2" width="9.28515625" customWidth="1"/>
    <col min="3" max="3" width="14.5703125" customWidth="1"/>
    <col min="4" max="4" width="19.28515625" customWidth="1"/>
    <col min="5" max="5" width="10.7109375" customWidth="1"/>
    <col min="6" max="6" width="8.28515625" customWidth="1"/>
    <col min="7" max="7" width="12.42578125" customWidth="1"/>
    <col min="8" max="10" width="12.28515625" customWidth="1"/>
    <col min="11" max="11" width="9.7109375" customWidth="1"/>
    <col min="12" max="12" width="9.140625" customWidth="1"/>
    <col min="13" max="13" width="8.5703125" customWidth="1"/>
    <col min="14" max="14" width="9.42578125" customWidth="1"/>
    <col min="15" max="15" width="9.85546875" customWidth="1"/>
    <col min="16" max="16" width="9.42578125" customWidth="1"/>
    <col min="17" max="17" width="9.85546875" customWidth="1"/>
    <col min="18" max="20" width="9.140625" customWidth="1"/>
    <col min="21" max="21" width="9.42578125" customWidth="1"/>
    <col min="22" max="24" width="9" customWidth="1"/>
    <col min="25" max="25" width="2" customWidth="1"/>
    <col min="26" max="26" width="12.42578125" customWidth="1"/>
  </cols>
  <sheetData>
    <row r="1" spans="1:27">
      <c r="A1" s="10" t="s">
        <v>42</v>
      </c>
      <c r="B1" s="11"/>
      <c r="C1" s="11" t="s">
        <v>39</v>
      </c>
      <c r="D1" s="11" t="e">
        <f>+#REF!</f>
        <v>#REF!</v>
      </c>
      <c r="E1" s="11"/>
      <c r="F1" s="19"/>
      <c r="G1" s="19"/>
      <c r="H1" s="20"/>
      <c r="I1" s="20"/>
      <c r="J1" s="20"/>
      <c r="K1" s="19"/>
    </row>
    <row r="2" spans="1:27">
      <c r="A2" s="11" t="s">
        <v>32</v>
      </c>
      <c r="B2" s="11"/>
      <c r="C2" s="11" t="s">
        <v>39</v>
      </c>
      <c r="D2" s="11" t="e">
        <f>+#REF!</f>
        <v>#REF!</v>
      </c>
      <c r="E2" s="11"/>
      <c r="F2" s="19"/>
      <c r="G2" s="19"/>
      <c r="H2" s="20"/>
      <c r="I2" s="20"/>
      <c r="J2" s="20"/>
      <c r="K2" s="19"/>
    </row>
    <row r="3" spans="1:27">
      <c r="A3" s="11" t="s">
        <v>40</v>
      </c>
      <c r="B3" s="11"/>
      <c r="C3" s="11" t="s">
        <v>39</v>
      </c>
      <c r="D3" s="11" t="e">
        <f>+#REF!</f>
        <v>#REF!</v>
      </c>
      <c r="E3" s="11"/>
      <c r="F3" s="19"/>
      <c r="G3" s="19"/>
      <c r="H3" s="20"/>
      <c r="I3" s="20"/>
      <c r="J3" s="20"/>
      <c r="K3" s="20"/>
    </row>
    <row r="4" spans="1:27">
      <c r="A4" s="11" t="s">
        <v>33</v>
      </c>
      <c r="B4" s="11"/>
      <c r="C4" s="11" t="s">
        <v>39</v>
      </c>
      <c r="D4" s="11" t="e">
        <f>+#REF!</f>
        <v>#REF!</v>
      </c>
      <c r="E4" s="11"/>
      <c r="F4" s="19"/>
      <c r="G4" s="19"/>
      <c r="H4" s="20"/>
      <c r="I4" s="20"/>
      <c r="J4" s="20"/>
      <c r="K4" s="20"/>
    </row>
    <row r="5" spans="1:27">
      <c r="A5" s="11" t="s">
        <v>23</v>
      </c>
      <c r="B5" s="11"/>
      <c r="C5" s="11" t="s">
        <v>39</v>
      </c>
      <c r="D5" s="11" t="e">
        <f>+#REF!</f>
        <v>#REF!</v>
      </c>
      <c r="E5" s="11"/>
      <c r="F5" s="19"/>
      <c r="G5" s="19"/>
      <c r="H5" s="20"/>
      <c r="I5" s="20"/>
      <c r="J5" s="20"/>
      <c r="K5" s="20"/>
    </row>
    <row r="6" spans="1:27">
      <c r="A6" s="11" t="s">
        <v>41</v>
      </c>
      <c r="B6" s="11"/>
      <c r="C6" s="11" t="s">
        <v>39</v>
      </c>
      <c r="D6" s="11" t="e">
        <f>+#REF!</f>
        <v>#REF!</v>
      </c>
      <c r="E6" s="11"/>
      <c r="F6" s="19"/>
      <c r="G6" s="19"/>
      <c r="H6" s="20"/>
      <c r="I6" s="20"/>
      <c r="J6" s="20"/>
      <c r="K6" s="20"/>
      <c r="L6" s="8"/>
    </row>
    <row r="7" spans="1:27" ht="15" customHeight="1">
      <c r="A7" s="11" t="s">
        <v>31</v>
      </c>
      <c r="B7" s="11"/>
      <c r="C7" s="11" t="s">
        <v>39</v>
      </c>
      <c r="D7" s="35" t="e">
        <f>+#REF!</f>
        <v>#REF!</v>
      </c>
      <c r="E7" s="32" t="s">
        <v>334</v>
      </c>
      <c r="F7" s="19"/>
      <c r="G7" s="19"/>
      <c r="H7" s="36"/>
      <c r="I7" s="36"/>
      <c r="J7" s="36"/>
      <c r="K7" s="36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7" ht="15" customHeight="1">
      <c r="A8" s="4" t="s">
        <v>19</v>
      </c>
      <c r="B8" s="4"/>
      <c r="C8" s="11" t="s">
        <v>39</v>
      </c>
      <c r="D8" s="35" t="e">
        <f>+D7/1.18</f>
        <v>#REF!</v>
      </c>
      <c r="E8" s="32" t="s">
        <v>430</v>
      </c>
      <c r="F8" s="1"/>
      <c r="G8" s="1"/>
      <c r="H8" s="2"/>
      <c r="I8" s="2"/>
      <c r="J8" s="2"/>
      <c r="K8" s="963"/>
      <c r="L8" s="963"/>
      <c r="M8" s="963"/>
      <c r="N8" s="963"/>
      <c r="O8" s="963"/>
      <c r="P8" s="963"/>
      <c r="Q8" s="202"/>
      <c r="R8" s="202"/>
      <c r="S8" s="202"/>
      <c r="T8" s="202"/>
      <c r="U8" s="963"/>
      <c r="V8" s="963"/>
      <c r="W8" s="202"/>
      <c r="X8" s="202"/>
    </row>
    <row r="9" spans="1:27" ht="15" customHeight="1">
      <c r="A9" s="4"/>
      <c r="B9" s="4"/>
      <c r="C9" s="11"/>
      <c r="D9" s="35"/>
      <c r="E9" s="32"/>
      <c r="F9" s="1"/>
      <c r="G9" s="1"/>
      <c r="H9" s="2"/>
      <c r="I9" s="2"/>
      <c r="J9" s="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1:27" ht="15" customHeight="1">
      <c r="A10" s="5"/>
      <c r="B10" s="5"/>
      <c r="C10" s="14"/>
      <c r="D10" s="5"/>
      <c r="E10" s="11"/>
      <c r="F10" s="8"/>
      <c r="G10" s="8"/>
      <c r="H10" s="8"/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7">
      <c r="A11" s="13"/>
      <c r="B11" s="13"/>
      <c r="C11" s="13"/>
      <c r="D11" s="13"/>
      <c r="E11" s="13"/>
      <c r="F11" s="9"/>
      <c r="G11" s="9"/>
      <c r="H11" s="9"/>
      <c r="I11" s="9"/>
      <c r="J11" s="9"/>
      <c r="K11" s="9"/>
      <c r="L11" s="7"/>
    </row>
    <row r="12" spans="1:27" ht="20.25">
      <c r="A12" s="967" t="s">
        <v>22</v>
      </c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7"/>
      <c r="T12" s="967"/>
      <c r="U12" s="967"/>
      <c r="V12" s="967"/>
      <c r="W12" s="967"/>
      <c r="X12" s="967"/>
      <c r="Y12" s="967"/>
      <c r="Z12" s="31"/>
    </row>
    <row r="13" spans="1:2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</row>
    <row r="14" spans="1:27" ht="18.75">
      <c r="A14" s="15"/>
      <c r="B14" s="15"/>
      <c r="C14" s="16"/>
      <c r="D14" s="16"/>
      <c r="E14" s="16"/>
      <c r="F14" s="9"/>
      <c r="G14" s="9"/>
      <c r="H14" s="9"/>
      <c r="I14" s="9"/>
      <c r="J14" s="9"/>
      <c r="K14" s="17" t="s">
        <v>30</v>
      </c>
      <c r="L14" s="17"/>
      <c r="M14" s="18"/>
      <c r="N14" s="18" t="s">
        <v>333</v>
      </c>
      <c r="O14" s="5"/>
    </row>
    <row r="15" spans="1:27" ht="18.75">
      <c r="A15" s="15"/>
      <c r="B15" s="15"/>
      <c r="C15" s="16"/>
      <c r="D15" s="16"/>
      <c r="E15" s="16"/>
      <c r="F15" s="9"/>
      <c r="G15" s="9"/>
      <c r="H15" s="9"/>
      <c r="I15" s="9"/>
      <c r="J15" s="9"/>
      <c r="K15" s="17"/>
      <c r="L15" s="17"/>
      <c r="M15" s="18"/>
      <c r="N15" s="18"/>
    </row>
    <row r="16" spans="1:27" ht="27.75" customHeight="1">
      <c r="A16" s="517" t="s">
        <v>466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21">
      <c r="A17" s="839" t="s">
        <v>467</v>
      </c>
      <c r="B17" s="840"/>
      <c r="C17" s="841"/>
      <c r="D17" s="841"/>
      <c r="E17" s="841"/>
      <c r="F17" s="841"/>
      <c r="G17" s="841"/>
      <c r="H17" s="841"/>
      <c r="I17" s="841"/>
      <c r="J17" s="841"/>
      <c r="K17" s="841"/>
      <c r="L17" s="842"/>
      <c r="M17" s="842"/>
      <c r="N17" s="842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3.5" thickBot="1">
      <c r="A18" s="4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38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.75" thickBot="1">
      <c r="A19" s="42"/>
      <c r="B19" s="43"/>
      <c r="C19" s="44"/>
      <c r="D19" s="45"/>
      <c r="E19" s="46"/>
      <c r="F19" s="47" t="s">
        <v>1</v>
      </c>
      <c r="G19" s="43" t="s">
        <v>43</v>
      </c>
      <c r="H19" s="48" t="s">
        <v>28</v>
      </c>
      <c r="I19" s="817"/>
      <c r="J19" s="817"/>
      <c r="K19" s="964" t="s">
        <v>29</v>
      </c>
      <c r="L19" s="964"/>
      <c r="M19" s="964"/>
      <c r="N19" s="964"/>
      <c r="O19" s="964"/>
      <c r="P19" s="964"/>
      <c r="Q19" s="965"/>
      <c r="R19" s="965"/>
      <c r="S19" s="964"/>
      <c r="T19" s="964"/>
      <c r="U19" s="964"/>
      <c r="V19" s="964"/>
      <c r="W19" s="964"/>
      <c r="X19" s="964"/>
      <c r="Y19" s="966"/>
      <c r="Z19" s="49"/>
      <c r="AA19" s="39"/>
    </row>
    <row r="20" spans="1:27" ht="15">
      <c r="A20" s="50" t="s">
        <v>26</v>
      </c>
      <c r="B20" s="51" t="s">
        <v>24</v>
      </c>
      <c r="C20" s="52" t="s">
        <v>25</v>
      </c>
      <c r="D20" s="53"/>
      <c r="E20" s="54"/>
      <c r="F20" s="55"/>
      <c r="G20" s="51" t="s">
        <v>27</v>
      </c>
      <c r="H20" s="210"/>
      <c r="I20" s="960" t="s">
        <v>476</v>
      </c>
      <c r="J20" s="961"/>
      <c r="K20" s="960" t="s">
        <v>477</v>
      </c>
      <c r="L20" s="961"/>
      <c r="M20" s="962" t="s">
        <v>478</v>
      </c>
      <c r="N20" s="961"/>
      <c r="O20" s="962" t="s">
        <v>479</v>
      </c>
      <c r="P20" s="961"/>
      <c r="Q20" s="962" t="s">
        <v>480</v>
      </c>
      <c r="R20" s="961"/>
      <c r="S20" s="960" t="s">
        <v>481</v>
      </c>
      <c r="T20" s="961"/>
      <c r="U20" s="960" t="s">
        <v>482</v>
      </c>
      <c r="V20" s="961"/>
      <c r="W20" s="960" t="s">
        <v>483</v>
      </c>
      <c r="X20" s="961"/>
      <c r="Y20" s="56"/>
      <c r="Z20" s="49"/>
      <c r="AA20" s="39"/>
    </row>
    <row r="21" spans="1:27" ht="15.75" thickBot="1">
      <c r="A21" s="57"/>
      <c r="B21" s="58"/>
      <c r="C21" s="59"/>
      <c r="D21" s="60"/>
      <c r="E21" s="61"/>
      <c r="F21" s="62" t="s">
        <v>2</v>
      </c>
      <c r="G21" s="63" t="s">
        <v>67</v>
      </c>
      <c r="H21" s="64" t="s">
        <v>475</v>
      </c>
      <c r="I21" s="471" t="s">
        <v>20</v>
      </c>
      <c r="J21" s="66" t="s">
        <v>3</v>
      </c>
      <c r="K21" s="471" t="s">
        <v>20</v>
      </c>
      <c r="L21" s="66" t="s">
        <v>3</v>
      </c>
      <c r="M21" s="65" t="s">
        <v>20</v>
      </c>
      <c r="N21" s="66" t="s">
        <v>3</v>
      </c>
      <c r="O21" s="65" t="s">
        <v>20</v>
      </c>
      <c r="P21" s="66" t="s">
        <v>3</v>
      </c>
      <c r="Q21" s="65" t="s">
        <v>20</v>
      </c>
      <c r="R21" s="66" t="s">
        <v>3</v>
      </c>
      <c r="S21" s="471" t="s">
        <v>20</v>
      </c>
      <c r="T21" s="66" t="s">
        <v>3</v>
      </c>
      <c r="U21" s="471" t="s">
        <v>20</v>
      </c>
      <c r="V21" s="66" t="s">
        <v>3</v>
      </c>
      <c r="W21" s="471" t="s">
        <v>20</v>
      </c>
      <c r="X21" s="66" t="s">
        <v>3</v>
      </c>
      <c r="Y21" s="541"/>
      <c r="Z21" s="49"/>
      <c r="AA21" s="39"/>
    </row>
    <row r="22" spans="1:27" ht="15">
      <c r="A22" s="67"/>
      <c r="B22" s="68"/>
      <c r="C22" s="68"/>
      <c r="D22" s="69"/>
      <c r="E22" s="70"/>
      <c r="F22" s="71"/>
      <c r="G22" s="72"/>
      <c r="H22" s="73"/>
      <c r="I22" s="472"/>
      <c r="J22" s="473"/>
      <c r="K22" s="472"/>
      <c r="L22" s="473"/>
      <c r="M22" s="70"/>
      <c r="N22" s="473"/>
      <c r="O22" s="70"/>
      <c r="P22" s="473"/>
      <c r="Q22" s="70"/>
      <c r="R22" s="473"/>
      <c r="S22" s="821"/>
      <c r="T22" s="822"/>
      <c r="U22" s="821"/>
      <c r="V22" s="822"/>
      <c r="W22" s="821"/>
      <c r="X22" s="822"/>
      <c r="Y22" s="473"/>
      <c r="Z22" s="74"/>
      <c r="AA22" s="39"/>
    </row>
    <row r="23" spans="1:27" ht="15">
      <c r="A23" s="75" t="s">
        <v>61</v>
      </c>
      <c r="B23" s="76">
        <v>47</v>
      </c>
      <c r="C23" s="77" t="s">
        <v>45</v>
      </c>
      <c r="D23" s="78"/>
      <c r="E23" s="79"/>
      <c r="F23" s="80">
        <v>0.21299999999999999</v>
      </c>
      <c r="G23" s="81">
        <v>1</v>
      </c>
      <c r="H23" s="315">
        <v>498.1</v>
      </c>
      <c r="I23" s="474">
        <v>523.15</v>
      </c>
      <c r="J23" s="475"/>
      <c r="K23" s="474">
        <v>523.15</v>
      </c>
      <c r="L23" s="475"/>
      <c r="M23" s="205">
        <v>523.15</v>
      </c>
      <c r="N23" s="475"/>
      <c r="O23" s="205">
        <v>523.15</v>
      </c>
      <c r="P23" s="475"/>
      <c r="Q23" s="205">
        <v>544.59</v>
      </c>
      <c r="R23" s="475"/>
      <c r="S23" s="823"/>
      <c r="T23" s="824"/>
      <c r="U23" s="823"/>
      <c r="V23" s="824"/>
      <c r="W23" s="823"/>
      <c r="X23" s="824"/>
      <c r="Y23" s="475"/>
      <c r="Z23" s="83"/>
      <c r="AA23" s="39"/>
    </row>
    <row r="24" spans="1:27" ht="15.75" thickBot="1">
      <c r="A24" s="84"/>
      <c r="B24" s="85"/>
      <c r="C24" s="85"/>
      <c r="D24" s="86"/>
      <c r="E24" s="87"/>
      <c r="F24" s="88"/>
      <c r="G24" s="89"/>
      <c r="H24" s="316">
        <f>+H23*$G23</f>
        <v>498.1</v>
      </c>
      <c r="I24" s="476">
        <f>+I23*$G23</f>
        <v>523.15</v>
      </c>
      <c r="J24" s="91">
        <f>ROUND($F23*I24/$H24,3)</f>
        <v>0.224</v>
      </c>
      <c r="K24" s="476">
        <f>+K23*$G23</f>
        <v>523.15</v>
      </c>
      <c r="L24" s="91">
        <f>ROUND($F23*K24/$H24,3)</f>
        <v>0.224</v>
      </c>
      <c r="M24" s="133">
        <f>+M23*$G23</f>
        <v>523.15</v>
      </c>
      <c r="N24" s="91">
        <f>ROUND($F23*M24/$H24,3)</f>
        <v>0.224</v>
      </c>
      <c r="O24" s="133">
        <f>+O23*$G23</f>
        <v>523.15</v>
      </c>
      <c r="P24" s="91">
        <f>ROUND($F23*O24/$H24,3)</f>
        <v>0.224</v>
      </c>
      <c r="Q24" s="133">
        <f>+Q23*$G23</f>
        <v>544.59</v>
      </c>
      <c r="R24" s="91">
        <f>ROUND($F23*Q24/$H24,3)</f>
        <v>0.23300000000000001</v>
      </c>
      <c r="S24" s="825">
        <f>+S23*$G23</f>
        <v>0</v>
      </c>
      <c r="T24" s="826">
        <f>ROUND($F23*S24/$H24,3)</f>
        <v>0</v>
      </c>
      <c r="U24" s="825">
        <f>+U23*$G23</f>
        <v>0</v>
      </c>
      <c r="V24" s="826">
        <f>ROUND($F23*U24/$H24,3)</f>
        <v>0</v>
      </c>
      <c r="W24" s="825">
        <f>+W23*$G23</f>
        <v>0</v>
      </c>
      <c r="X24" s="826">
        <f>ROUND($F23*W24/$H24,3)</f>
        <v>0</v>
      </c>
      <c r="Y24" s="542"/>
      <c r="Z24" s="92"/>
      <c r="AA24" s="39"/>
    </row>
    <row r="25" spans="1:27" ht="15">
      <c r="A25" s="67"/>
      <c r="B25" s="68"/>
      <c r="C25" s="68"/>
      <c r="D25" s="69"/>
      <c r="E25" s="70"/>
      <c r="F25" s="71"/>
      <c r="G25" s="72"/>
      <c r="H25" s="73"/>
      <c r="I25" s="472"/>
      <c r="J25" s="473"/>
      <c r="K25" s="472"/>
      <c r="L25" s="473"/>
      <c r="M25" s="70"/>
      <c r="N25" s="473"/>
      <c r="O25" s="70"/>
      <c r="P25" s="473"/>
      <c r="Q25" s="70"/>
      <c r="R25" s="473"/>
      <c r="S25" s="821"/>
      <c r="T25" s="822"/>
      <c r="U25" s="821"/>
      <c r="V25" s="822"/>
      <c r="W25" s="821"/>
      <c r="X25" s="822"/>
      <c r="Y25" s="473"/>
      <c r="Z25" s="92"/>
      <c r="AA25" s="39"/>
    </row>
    <row r="26" spans="1:27" ht="15">
      <c r="A26" s="75" t="s">
        <v>468</v>
      </c>
      <c r="B26" s="76">
        <v>21</v>
      </c>
      <c r="C26" s="77" t="s">
        <v>335</v>
      </c>
      <c r="D26" s="78"/>
      <c r="E26" s="79"/>
      <c r="F26" s="80">
        <v>6.8000000000000005E-2</v>
      </c>
      <c r="G26" s="81">
        <v>1</v>
      </c>
      <c r="H26" s="315">
        <v>410.96</v>
      </c>
      <c r="I26" s="474">
        <v>410.96</v>
      </c>
      <c r="J26" s="475"/>
      <c r="K26" s="474">
        <v>410.96</v>
      </c>
      <c r="L26" s="475"/>
      <c r="M26" s="205">
        <v>410.96</v>
      </c>
      <c r="N26" s="475"/>
      <c r="O26" s="205">
        <v>410.96</v>
      </c>
      <c r="P26" s="475"/>
      <c r="Q26" s="205">
        <v>410.96</v>
      </c>
      <c r="R26" s="475"/>
      <c r="S26" s="823"/>
      <c r="T26" s="824"/>
      <c r="U26" s="823"/>
      <c r="V26" s="824"/>
      <c r="W26" s="823"/>
      <c r="X26" s="824"/>
      <c r="Y26" s="475"/>
      <c r="Z26" s="92"/>
      <c r="AA26" s="39"/>
    </row>
    <row r="27" spans="1:27" ht="15">
      <c r="A27" s="84"/>
      <c r="B27" s="85"/>
      <c r="C27" s="85"/>
      <c r="D27" s="86"/>
      <c r="E27" s="87"/>
      <c r="F27" s="88"/>
      <c r="G27" s="89"/>
      <c r="H27" s="316">
        <f>+H26*$G26</f>
        <v>410.96</v>
      </c>
      <c r="I27" s="476">
        <f>+I26*$G26</f>
        <v>410.96</v>
      </c>
      <c r="J27" s="91">
        <f>ROUND($F26*I27/$H27,3)</f>
        <v>6.8000000000000005E-2</v>
      </c>
      <c r="K27" s="476">
        <f>+K26*$G26</f>
        <v>410.96</v>
      </c>
      <c r="L27" s="91">
        <f>ROUND($F26*K27/$H27,3)</f>
        <v>6.8000000000000005E-2</v>
      </c>
      <c r="M27" s="133">
        <f>+M26*$G26</f>
        <v>410.96</v>
      </c>
      <c r="N27" s="91">
        <f>ROUND($F26*M27/$H27,3)</f>
        <v>6.8000000000000005E-2</v>
      </c>
      <c r="O27" s="133">
        <f>+O26*$G26</f>
        <v>410.96</v>
      </c>
      <c r="P27" s="91">
        <f>ROUND($F26*O27/$H27,3)</f>
        <v>6.8000000000000005E-2</v>
      </c>
      <c r="Q27" s="133">
        <f>+Q26*$G26</f>
        <v>410.96</v>
      </c>
      <c r="R27" s="91">
        <f>ROUND($F26*Q27/$H27,3)</f>
        <v>6.8000000000000005E-2</v>
      </c>
      <c r="S27" s="825">
        <f>+S26*$G26</f>
        <v>0</v>
      </c>
      <c r="T27" s="826">
        <f>ROUND($F26*S27/$H27,3)</f>
        <v>0</v>
      </c>
      <c r="U27" s="825">
        <f>+U26*$G26</f>
        <v>0</v>
      </c>
      <c r="V27" s="826">
        <f>ROUND($F26*U27/$H27,3)</f>
        <v>0</v>
      </c>
      <c r="W27" s="825">
        <f>+W26*$G26</f>
        <v>0</v>
      </c>
      <c r="X27" s="826">
        <f>ROUND($F26*W27/$H27,3)</f>
        <v>0</v>
      </c>
      <c r="Y27" s="542"/>
      <c r="Z27" s="92"/>
      <c r="AA27" s="39"/>
    </row>
    <row r="28" spans="1:27" ht="15">
      <c r="A28" s="75"/>
      <c r="B28" s="76"/>
      <c r="C28" s="77"/>
      <c r="D28" s="78"/>
      <c r="E28" s="79"/>
      <c r="F28" s="80"/>
      <c r="G28" s="81"/>
      <c r="H28" s="315"/>
      <c r="I28" s="477"/>
      <c r="J28" s="478"/>
      <c r="K28" s="477"/>
      <c r="L28" s="478"/>
      <c r="M28" s="317"/>
      <c r="N28" s="478"/>
      <c r="O28" s="317"/>
      <c r="P28" s="478"/>
      <c r="Q28" s="317"/>
      <c r="R28" s="478"/>
      <c r="S28" s="827"/>
      <c r="T28" s="828"/>
      <c r="U28" s="827"/>
      <c r="V28" s="828"/>
      <c r="W28" s="827"/>
      <c r="X28" s="828"/>
      <c r="Y28" s="543"/>
      <c r="Z28" s="92"/>
      <c r="AA28" s="39"/>
    </row>
    <row r="29" spans="1:27" ht="15">
      <c r="A29" s="75" t="s">
        <v>469</v>
      </c>
      <c r="B29" s="76">
        <v>32</v>
      </c>
      <c r="C29" s="77" t="s">
        <v>465</v>
      </c>
      <c r="D29" s="78"/>
      <c r="E29" s="79"/>
      <c r="F29" s="80">
        <v>6.0999999999999999E-2</v>
      </c>
      <c r="G29" s="101">
        <v>0.34426000000000001</v>
      </c>
      <c r="H29" s="315">
        <v>468.3</v>
      </c>
      <c r="I29" s="477">
        <v>469.08</v>
      </c>
      <c r="J29" s="105"/>
      <c r="K29" s="477">
        <v>469.08</v>
      </c>
      <c r="L29" s="105"/>
      <c r="M29" s="317">
        <v>466.15</v>
      </c>
      <c r="N29" s="105"/>
      <c r="O29" s="317">
        <v>466.15</v>
      </c>
      <c r="P29" s="105"/>
      <c r="Q29" s="317">
        <v>466.15</v>
      </c>
      <c r="R29" s="105"/>
      <c r="S29" s="827"/>
      <c r="T29" s="829"/>
      <c r="U29" s="827"/>
      <c r="V29" s="829"/>
      <c r="W29" s="827"/>
      <c r="X29" s="829"/>
      <c r="Y29" s="543"/>
      <c r="Z29" s="92"/>
      <c r="AA29" s="39"/>
    </row>
    <row r="30" spans="1:27" ht="15">
      <c r="A30" s="75"/>
      <c r="B30" s="820" t="s">
        <v>427</v>
      </c>
      <c r="C30" s="77" t="s">
        <v>470</v>
      </c>
      <c r="D30" s="78"/>
      <c r="E30" s="79"/>
      <c r="F30" s="80"/>
      <c r="G30" s="101">
        <v>0.31147999999999998</v>
      </c>
      <c r="H30" s="315">
        <v>451.86</v>
      </c>
      <c r="I30" s="477">
        <v>505.2</v>
      </c>
      <c r="J30" s="479"/>
      <c r="K30" s="477">
        <v>497.61</v>
      </c>
      <c r="L30" s="479"/>
      <c r="M30" s="317">
        <v>496.56</v>
      </c>
      <c r="N30" s="479"/>
      <c r="O30" s="317">
        <v>458.09</v>
      </c>
      <c r="P30" s="479"/>
      <c r="Q30" s="317">
        <v>462.12</v>
      </c>
      <c r="R30" s="479"/>
      <c r="S30" s="827"/>
      <c r="T30" s="830"/>
      <c r="U30" s="827"/>
      <c r="V30" s="830"/>
      <c r="W30" s="827"/>
      <c r="X30" s="830"/>
      <c r="Y30" s="543"/>
      <c r="Z30" s="92"/>
      <c r="AA30" s="39"/>
    </row>
    <row r="31" spans="1:27" ht="15">
      <c r="A31" s="204"/>
      <c r="B31" s="76">
        <v>56</v>
      </c>
      <c r="C31" s="77" t="s">
        <v>471</v>
      </c>
      <c r="D31" s="78"/>
      <c r="E31" s="79"/>
      <c r="F31" s="80"/>
      <c r="G31" s="101">
        <v>0.34426000000000001</v>
      </c>
      <c r="H31" s="315">
        <v>454.42</v>
      </c>
      <c r="I31" s="477">
        <v>476.67</v>
      </c>
      <c r="J31" s="105"/>
      <c r="K31" s="477">
        <v>439.33</v>
      </c>
      <c r="L31" s="105"/>
      <c r="M31" s="317">
        <v>423.73</v>
      </c>
      <c r="N31" s="105"/>
      <c r="O31" s="317">
        <v>415.57</v>
      </c>
      <c r="P31" s="105"/>
      <c r="Q31" s="317">
        <v>423.01</v>
      </c>
      <c r="R31" s="105"/>
      <c r="S31" s="827"/>
      <c r="T31" s="829"/>
      <c r="U31" s="827"/>
      <c r="V31" s="829"/>
      <c r="W31" s="827"/>
      <c r="X31" s="829"/>
      <c r="Y31" s="543"/>
      <c r="Z31" s="92"/>
      <c r="AA31" s="39"/>
    </row>
    <row r="32" spans="1:27" ht="15">
      <c r="A32" s="206"/>
      <c r="B32" s="207"/>
      <c r="C32" s="208"/>
      <c r="D32" s="86"/>
      <c r="E32" s="87"/>
      <c r="F32" s="88"/>
      <c r="G32" s="209"/>
      <c r="H32" s="316">
        <f>+H29*$G29+H30*$G30+H31*$G31</f>
        <v>458.40093999999999</v>
      </c>
      <c r="I32" s="480">
        <f>+I29*$G29+I30*$G30+I31*$G31</f>
        <v>482.94359099999997</v>
      </c>
      <c r="J32" s="481">
        <f>ROUND($F29*I32/$H32,3)</f>
        <v>6.4000000000000001E-2</v>
      </c>
      <c r="K32" s="480">
        <f>+K29*$G29+K30*$G30+K31*$G31</f>
        <v>467.72478940000002</v>
      </c>
      <c r="L32" s="481">
        <f>ROUND($F29*K32/$H32,3)</f>
        <v>6.2E-2</v>
      </c>
      <c r="M32" s="318">
        <f>+M29*$G29+M30*$G30+M31*$G31</f>
        <v>461.01859759999996</v>
      </c>
      <c r="N32" s="481">
        <f>ROUND($F29*M32/$H32,3)</f>
        <v>6.0999999999999999E-2</v>
      </c>
      <c r="O32" s="318">
        <f>+O29*$G29+O30*$G30+O31*$G31</f>
        <v>446.2268004</v>
      </c>
      <c r="P32" s="481">
        <f>ROUND($F29*O32/$H32,3)</f>
        <v>5.8999999999999997E-2</v>
      </c>
      <c r="Q32" s="318">
        <f>+Q29*$G29+Q30*$G30+Q31*$G31</f>
        <v>450.04335919999994</v>
      </c>
      <c r="R32" s="481">
        <f>ROUND($F29*Q32/$H32,3)</f>
        <v>0.06</v>
      </c>
      <c r="S32" s="831">
        <f>+S29*$G29+S30*$G30+S31*$G31</f>
        <v>0</v>
      </c>
      <c r="T32" s="832">
        <f>ROUND($F29*S32/$H32,3)</f>
        <v>0</v>
      </c>
      <c r="U32" s="831">
        <f>+U29*$G29+U30*$G30+U31*$G31</f>
        <v>0</v>
      </c>
      <c r="V32" s="832">
        <f>ROUND($F29*U32/$H32,3)</f>
        <v>0</v>
      </c>
      <c r="W32" s="831">
        <f>+W29*$G29+W30*$G30+W31*$G31</f>
        <v>0</v>
      </c>
      <c r="X32" s="832">
        <f>ROUND($F29*W32/$H32,3)</f>
        <v>0</v>
      </c>
      <c r="Y32" s="542"/>
      <c r="Z32" s="92"/>
      <c r="AA32" s="39"/>
    </row>
    <row r="33" spans="1:27" ht="15">
      <c r="A33" s="204"/>
      <c r="B33" s="100"/>
      <c r="C33" s="100"/>
      <c r="D33" s="78"/>
      <c r="E33" s="79"/>
      <c r="F33" s="398"/>
      <c r="G33" s="399"/>
      <c r="H33" s="315"/>
      <c r="I33" s="474"/>
      <c r="J33" s="482"/>
      <c r="K33" s="474"/>
      <c r="L33" s="482"/>
      <c r="M33" s="205"/>
      <c r="N33" s="482"/>
      <c r="O33" s="205"/>
      <c r="P33" s="482"/>
      <c r="Q33" s="205"/>
      <c r="R33" s="482"/>
      <c r="S33" s="823"/>
      <c r="T33" s="824"/>
      <c r="U33" s="823"/>
      <c r="V33" s="824"/>
      <c r="W33" s="823"/>
      <c r="X33" s="824"/>
      <c r="Y33" s="482"/>
      <c r="Z33" s="92"/>
      <c r="AA33" s="39"/>
    </row>
    <row r="34" spans="1:27" ht="15">
      <c r="A34" s="75" t="s">
        <v>472</v>
      </c>
      <c r="B34" s="76">
        <v>30</v>
      </c>
      <c r="C34" s="100" t="s">
        <v>336</v>
      </c>
      <c r="D34" s="78"/>
      <c r="E34" s="79"/>
      <c r="F34" s="80">
        <v>5.1999999999999998E-2</v>
      </c>
      <c r="G34" s="81">
        <v>1</v>
      </c>
      <c r="H34" s="315">
        <v>387.37</v>
      </c>
      <c r="I34" s="474">
        <v>429.32</v>
      </c>
      <c r="J34" s="475"/>
      <c r="K34" s="474">
        <v>434.47</v>
      </c>
      <c r="L34" s="475"/>
      <c r="M34" s="205">
        <v>438.07</v>
      </c>
      <c r="N34" s="475"/>
      <c r="O34" s="205">
        <v>442.52</v>
      </c>
      <c r="P34" s="475"/>
      <c r="Q34" s="205">
        <v>450.46</v>
      </c>
      <c r="R34" s="475"/>
      <c r="S34" s="823"/>
      <c r="T34" s="824"/>
      <c r="U34" s="823"/>
      <c r="V34" s="824"/>
      <c r="W34" s="823"/>
      <c r="X34" s="824"/>
      <c r="Y34" s="475"/>
      <c r="Z34" s="92"/>
      <c r="AA34" s="39"/>
    </row>
    <row r="35" spans="1:27" ht="15">
      <c r="A35" s="84"/>
      <c r="B35" s="85"/>
      <c r="C35" s="85"/>
      <c r="D35" s="86"/>
      <c r="E35" s="87"/>
      <c r="F35" s="88"/>
      <c r="G35" s="89"/>
      <c r="H35" s="316">
        <f>+H34*$G34</f>
        <v>387.37</v>
      </c>
      <c r="I35" s="476">
        <f>+I34*$G34</f>
        <v>429.32</v>
      </c>
      <c r="J35" s="91">
        <f>ROUND($F34*I35/$H35,3)</f>
        <v>5.8000000000000003E-2</v>
      </c>
      <c r="K35" s="476">
        <f>+K34*$G34</f>
        <v>434.47</v>
      </c>
      <c r="L35" s="91">
        <f>ROUND($F34*K35/$H35,3)</f>
        <v>5.8000000000000003E-2</v>
      </c>
      <c r="M35" s="133">
        <f>+M34*$G34</f>
        <v>438.07</v>
      </c>
      <c r="N35" s="91">
        <f>ROUND($F34*M35/$H35,3)</f>
        <v>5.8999999999999997E-2</v>
      </c>
      <c r="O35" s="133">
        <f>+O34*$G34</f>
        <v>442.52</v>
      </c>
      <c r="P35" s="91">
        <f>ROUND($F34*O35/$H35,3)</f>
        <v>5.8999999999999997E-2</v>
      </c>
      <c r="Q35" s="133">
        <f>+Q34*$G34</f>
        <v>450.46</v>
      </c>
      <c r="R35" s="91">
        <f>ROUND($F34*Q35/$H35,3)</f>
        <v>0.06</v>
      </c>
      <c r="S35" s="825">
        <f>+S34*$G34</f>
        <v>0</v>
      </c>
      <c r="T35" s="826">
        <f>ROUND($F34*S35/$H35,3)</f>
        <v>0</v>
      </c>
      <c r="U35" s="825">
        <f>+U34*$G34</f>
        <v>0</v>
      </c>
      <c r="V35" s="826">
        <f>ROUND($F34*U35/$H35,3)</f>
        <v>0</v>
      </c>
      <c r="W35" s="825">
        <f>+W34*$G34</f>
        <v>0</v>
      </c>
      <c r="X35" s="826">
        <f>ROUND($F34*W35/$H35,3)</f>
        <v>0</v>
      </c>
      <c r="Y35" s="542"/>
      <c r="Z35" s="92"/>
      <c r="AA35" s="39"/>
    </row>
    <row r="36" spans="1:27" ht="15">
      <c r="A36" s="93"/>
      <c r="B36" s="94"/>
      <c r="C36" s="95"/>
      <c r="D36" s="96"/>
      <c r="E36" s="97"/>
      <c r="F36" s="98"/>
      <c r="G36" s="99"/>
      <c r="H36" s="319"/>
      <c r="I36" s="483"/>
      <c r="J36" s="484"/>
      <c r="K36" s="483"/>
      <c r="L36" s="484"/>
      <c r="M36" s="320"/>
      <c r="N36" s="484"/>
      <c r="O36" s="320"/>
      <c r="P36" s="484"/>
      <c r="Q36" s="320"/>
      <c r="R36" s="484"/>
      <c r="S36" s="833"/>
      <c r="T36" s="834"/>
      <c r="U36" s="833"/>
      <c r="V36" s="834"/>
      <c r="W36" s="833"/>
      <c r="X36" s="834"/>
      <c r="Y36" s="475"/>
      <c r="Z36" s="83"/>
      <c r="AA36" s="39"/>
    </row>
    <row r="37" spans="1:27" ht="15">
      <c r="A37" s="75" t="s">
        <v>473</v>
      </c>
      <c r="B37" s="76">
        <v>49</v>
      </c>
      <c r="C37" s="100" t="s">
        <v>62</v>
      </c>
      <c r="D37" s="78"/>
      <c r="E37" s="79"/>
      <c r="F37" s="80">
        <v>0.35499999999999998</v>
      </c>
      <c r="G37" s="101">
        <v>0.65634000000000003</v>
      </c>
      <c r="H37" s="315">
        <v>248.68</v>
      </c>
      <c r="I37" s="474">
        <v>279.73</v>
      </c>
      <c r="J37" s="82"/>
      <c r="K37" s="474">
        <v>282.51</v>
      </c>
      <c r="L37" s="82"/>
      <c r="M37" s="205">
        <v>283.41000000000003</v>
      </c>
      <c r="N37" s="82"/>
      <c r="O37" s="205">
        <v>285.08</v>
      </c>
      <c r="P37" s="82"/>
      <c r="Q37" s="205">
        <v>290.39999999999998</v>
      </c>
      <c r="R37" s="82"/>
      <c r="S37" s="823"/>
      <c r="T37" s="829"/>
      <c r="U37" s="823"/>
      <c r="V37" s="829"/>
      <c r="W37" s="823"/>
      <c r="X37" s="829"/>
      <c r="Y37" s="475"/>
      <c r="Z37" s="83"/>
      <c r="AA37" s="39"/>
    </row>
    <row r="38" spans="1:27" ht="15">
      <c r="A38" s="75"/>
      <c r="B38" s="76">
        <v>48</v>
      </c>
      <c r="C38" s="100" t="s">
        <v>337</v>
      </c>
      <c r="D38" s="78"/>
      <c r="E38" s="79"/>
      <c r="F38" s="80"/>
      <c r="G38" s="101">
        <v>0.34366000000000002</v>
      </c>
      <c r="H38" s="315">
        <v>338.46</v>
      </c>
      <c r="I38" s="474">
        <v>354.51</v>
      </c>
      <c r="J38" s="82"/>
      <c r="K38" s="474">
        <v>355.41</v>
      </c>
      <c r="L38" s="82"/>
      <c r="M38" s="205">
        <v>356.2</v>
      </c>
      <c r="N38" s="82"/>
      <c r="O38" s="205">
        <v>357</v>
      </c>
      <c r="P38" s="82"/>
      <c r="Q38" s="205">
        <v>359.33</v>
      </c>
      <c r="R38" s="82"/>
      <c r="S38" s="823"/>
      <c r="T38" s="829"/>
      <c r="U38" s="823"/>
      <c r="V38" s="829"/>
      <c r="W38" s="823"/>
      <c r="X38" s="829"/>
      <c r="Y38" s="475"/>
      <c r="Z38" s="83"/>
      <c r="AA38" s="39"/>
    </row>
    <row r="39" spans="1:27" ht="15">
      <c r="A39" s="84"/>
      <c r="B39" s="102"/>
      <c r="C39" s="85"/>
      <c r="D39" s="86"/>
      <c r="E39" s="87"/>
      <c r="F39" s="88"/>
      <c r="G39" s="89"/>
      <c r="H39" s="316">
        <f>+H37*$G37+H38*$G38</f>
        <v>279.53379480000001</v>
      </c>
      <c r="I39" s="476">
        <f>+I37*$G37+I38*$G38</f>
        <v>305.42889480000002</v>
      </c>
      <c r="J39" s="91">
        <f>ROUND($F37*I39/$H39,3)</f>
        <v>0.38800000000000001</v>
      </c>
      <c r="K39" s="476">
        <f>+K37*$G37+K38*$G38</f>
        <v>307.562814</v>
      </c>
      <c r="L39" s="91">
        <f>ROUND($F37*K39/$H39,3)</f>
        <v>0.39100000000000001</v>
      </c>
      <c r="M39" s="133">
        <f>+M37*$G37+M38*$G38</f>
        <v>308.42501140000002</v>
      </c>
      <c r="N39" s="91">
        <f>ROUND($F37*M39/$H39,3)</f>
        <v>0.39200000000000002</v>
      </c>
      <c r="O39" s="133">
        <f>+O37*$G37+O38*$G38</f>
        <v>309.79602720000003</v>
      </c>
      <c r="P39" s="91">
        <f>ROUND($F37*O39/$H39,3)</f>
        <v>0.39300000000000002</v>
      </c>
      <c r="Q39" s="133">
        <f>+Q37*$G37+Q38*$G38</f>
        <v>314.08848380000001</v>
      </c>
      <c r="R39" s="91">
        <f>ROUND($F37*Q39/$H39,3)</f>
        <v>0.39900000000000002</v>
      </c>
      <c r="S39" s="825">
        <f>+S37*$G37+S38*$G38</f>
        <v>0</v>
      </c>
      <c r="T39" s="826">
        <f>ROUND($F37*S39/$H39,3)</f>
        <v>0</v>
      </c>
      <c r="U39" s="825">
        <f>+U37*$G37+U38*$G38</f>
        <v>0</v>
      </c>
      <c r="V39" s="826">
        <f>ROUND($F37*U39/$H39,3)</f>
        <v>0</v>
      </c>
      <c r="W39" s="825">
        <f>+W37*$G37+W38*$G38</f>
        <v>0</v>
      </c>
      <c r="X39" s="826">
        <f>ROUND($F37*W39/$H39,3)</f>
        <v>0</v>
      </c>
      <c r="Y39" s="544"/>
      <c r="Z39" s="83"/>
      <c r="AA39" s="39"/>
    </row>
    <row r="40" spans="1:27" ht="15">
      <c r="A40" s="93"/>
      <c r="B40" s="94"/>
      <c r="C40" s="95"/>
      <c r="D40" s="96"/>
      <c r="E40" s="97"/>
      <c r="F40" s="103"/>
      <c r="G40" s="104"/>
      <c r="H40" s="315"/>
      <c r="I40" s="474"/>
      <c r="J40" s="482"/>
      <c r="K40" s="474"/>
      <c r="L40" s="482"/>
      <c r="M40" s="205"/>
      <c r="N40" s="482"/>
      <c r="O40" s="205"/>
      <c r="P40" s="482"/>
      <c r="Q40" s="205"/>
      <c r="R40" s="482"/>
      <c r="S40" s="823"/>
      <c r="T40" s="824"/>
      <c r="U40" s="823"/>
      <c r="V40" s="824"/>
      <c r="W40" s="823"/>
      <c r="X40" s="824"/>
      <c r="Y40" s="482"/>
      <c r="Z40" s="83"/>
      <c r="AA40" s="39"/>
    </row>
    <row r="41" spans="1:27" ht="15">
      <c r="A41" s="75" t="s">
        <v>474</v>
      </c>
      <c r="B41" s="106">
        <v>39</v>
      </c>
      <c r="C41" s="100" t="s">
        <v>338</v>
      </c>
      <c r="D41" s="78"/>
      <c r="E41" s="79"/>
      <c r="F41" s="80">
        <v>0.251</v>
      </c>
      <c r="G41" s="81">
        <v>1</v>
      </c>
      <c r="H41" s="315">
        <v>400.98</v>
      </c>
      <c r="I41" s="474">
        <v>411.5</v>
      </c>
      <c r="J41" s="475"/>
      <c r="K41" s="474">
        <v>413.82</v>
      </c>
      <c r="L41" s="475"/>
      <c r="M41" s="205">
        <v>415.2</v>
      </c>
      <c r="N41" s="475"/>
      <c r="O41" s="205">
        <v>417.07</v>
      </c>
      <c r="P41" s="475"/>
      <c r="Q41" s="205">
        <v>418.64</v>
      </c>
      <c r="R41" s="475"/>
      <c r="S41" s="823"/>
      <c r="T41" s="824"/>
      <c r="U41" s="823"/>
      <c r="V41" s="824"/>
      <c r="W41" s="823"/>
      <c r="X41" s="824"/>
      <c r="Y41" s="475"/>
      <c r="Z41" s="83"/>
      <c r="AA41" s="39"/>
    </row>
    <row r="42" spans="1:27" ht="15">
      <c r="A42" s="84"/>
      <c r="B42" s="85"/>
      <c r="C42" s="102"/>
      <c r="D42" s="86"/>
      <c r="E42" s="87"/>
      <c r="F42" s="88"/>
      <c r="G42" s="89"/>
      <c r="H42" s="316">
        <f>+H41*$G41</f>
        <v>400.98</v>
      </c>
      <c r="I42" s="476">
        <f>+I41*$G41</f>
        <v>411.5</v>
      </c>
      <c r="J42" s="91">
        <f>ROUND($F41*I42/$H42,3)</f>
        <v>0.25800000000000001</v>
      </c>
      <c r="K42" s="476">
        <f>+K41*$G41</f>
        <v>413.82</v>
      </c>
      <c r="L42" s="91">
        <f>ROUND($F41*K42/$H42,3)</f>
        <v>0.25900000000000001</v>
      </c>
      <c r="M42" s="133">
        <f>+M41*$G41</f>
        <v>415.2</v>
      </c>
      <c r="N42" s="91">
        <f>ROUND($F41*M42/$H42,3)</f>
        <v>0.26</v>
      </c>
      <c r="O42" s="133">
        <f>+O41*$G41</f>
        <v>417.07</v>
      </c>
      <c r="P42" s="91">
        <f>ROUND($F41*O42/$H42,3)</f>
        <v>0.26100000000000001</v>
      </c>
      <c r="Q42" s="133">
        <f>+Q41*$G41</f>
        <v>418.64</v>
      </c>
      <c r="R42" s="91">
        <f>ROUND($F41*Q42/$H42,3)</f>
        <v>0.26200000000000001</v>
      </c>
      <c r="S42" s="825">
        <f>+S41*$G41</f>
        <v>0</v>
      </c>
      <c r="T42" s="826">
        <f>ROUND($F41*S42/$H42,3)</f>
        <v>0</v>
      </c>
      <c r="U42" s="825">
        <f>+U41*$G41</f>
        <v>0</v>
      </c>
      <c r="V42" s="826">
        <f>ROUND($F41*U42/$H42,3)</f>
        <v>0</v>
      </c>
      <c r="W42" s="825">
        <f>+W41*$G41</f>
        <v>0</v>
      </c>
      <c r="X42" s="826">
        <f>ROUND($F41*W42/$H42,3)</f>
        <v>0</v>
      </c>
      <c r="Y42" s="544"/>
      <c r="Z42" s="83"/>
      <c r="AA42" s="39"/>
    </row>
    <row r="43" spans="1:27" ht="15.75" thickBot="1">
      <c r="A43" s="107"/>
      <c r="B43" s="108"/>
      <c r="C43" s="109"/>
      <c r="D43" s="110"/>
      <c r="E43" s="111"/>
      <c r="F43" s="112"/>
      <c r="G43" s="113"/>
      <c r="H43" s="90"/>
      <c r="I43" s="485"/>
      <c r="J43" s="91"/>
      <c r="K43" s="485"/>
      <c r="L43" s="91"/>
      <c r="M43" s="470"/>
      <c r="N43" s="487"/>
      <c r="O43" s="470"/>
      <c r="P43" s="487"/>
      <c r="Q43" s="470"/>
      <c r="R43" s="487"/>
      <c r="S43" s="835"/>
      <c r="T43" s="836"/>
      <c r="U43" s="835"/>
      <c r="V43" s="836"/>
      <c r="W43" s="835"/>
      <c r="X43" s="836"/>
      <c r="Y43" s="475"/>
      <c r="Z43" s="83"/>
      <c r="AA43" s="39"/>
    </row>
    <row r="44" spans="1:27" ht="15.75" thickBot="1">
      <c r="A44" s="114"/>
      <c r="B44" s="115"/>
      <c r="C44" s="115" t="s">
        <v>339</v>
      </c>
      <c r="D44" s="116"/>
      <c r="E44" s="117"/>
      <c r="F44" s="118">
        <f>SUM(F22:F43)</f>
        <v>1</v>
      </c>
      <c r="G44" s="119"/>
      <c r="H44" s="120"/>
      <c r="I44" s="486"/>
      <c r="J44" s="121">
        <f>SUM(J22:J43)</f>
        <v>1.06</v>
      </c>
      <c r="K44" s="486"/>
      <c r="L44" s="121">
        <f>SUM(L22:L43)</f>
        <v>1.0620000000000001</v>
      </c>
      <c r="M44" s="118"/>
      <c r="N44" s="121">
        <f>SUM(N22:N43)</f>
        <v>1.0640000000000001</v>
      </c>
      <c r="O44" s="134"/>
      <c r="P44" s="121">
        <f>SUM(P22:P43)</f>
        <v>1.0640000000000001</v>
      </c>
      <c r="Q44" s="134"/>
      <c r="R44" s="121">
        <f>SUM(R22:R43)</f>
        <v>1.0820000000000001</v>
      </c>
      <c r="S44" s="837"/>
      <c r="T44" s="838">
        <f>SUM(T22:T43)</f>
        <v>0</v>
      </c>
      <c r="U44" s="837"/>
      <c r="V44" s="838">
        <f>SUM(V22:V43)</f>
        <v>0</v>
      </c>
      <c r="W44" s="837"/>
      <c r="X44" s="838">
        <f>SUM(X22:X43)</f>
        <v>0</v>
      </c>
      <c r="Y44" s="545"/>
      <c r="Z44" s="92"/>
      <c r="AA44" s="39"/>
    </row>
    <row r="45" spans="1:27">
      <c r="A45" s="122"/>
      <c r="B45" s="122"/>
      <c r="C45" s="74"/>
      <c r="D45" s="74"/>
      <c r="E45" s="74"/>
      <c r="F45" s="123"/>
      <c r="G45" s="124"/>
      <c r="H45" s="125"/>
      <c r="I45" s="125"/>
      <c r="J45" s="125"/>
      <c r="K45" s="126"/>
      <c r="L45" s="3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>
      <c r="A46" s="122"/>
      <c r="B46" s="122"/>
      <c r="C46" s="74"/>
      <c r="D46" s="74"/>
      <c r="E46" s="74"/>
      <c r="F46" s="123"/>
      <c r="G46" s="124"/>
      <c r="H46" s="125"/>
      <c r="I46" s="125"/>
      <c r="J46" s="125"/>
      <c r="K46" s="126"/>
      <c r="L46" s="38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>
      <c r="A47" s="122"/>
      <c r="B47" s="122"/>
      <c r="C47" s="74"/>
      <c r="D47" s="74"/>
      <c r="E47" s="74"/>
      <c r="F47" s="123"/>
      <c r="G47" s="124"/>
      <c r="H47" s="125"/>
      <c r="I47" s="125"/>
      <c r="J47" s="125"/>
      <c r="K47" s="126"/>
      <c r="L47" s="3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>
      <c r="A48" s="122"/>
      <c r="B48" s="122"/>
      <c r="C48" s="74"/>
      <c r="D48" s="74"/>
      <c r="E48" s="74"/>
      <c r="F48" s="123"/>
      <c r="G48" s="124"/>
      <c r="H48" s="125"/>
      <c r="I48" s="125"/>
      <c r="J48" s="125"/>
      <c r="K48" s="126"/>
      <c r="L48" s="38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>
      <c r="A49" s="122"/>
      <c r="B49" s="122"/>
      <c r="C49" s="74"/>
      <c r="D49" s="74"/>
      <c r="E49" s="74"/>
      <c r="F49" s="123"/>
      <c r="G49" s="124"/>
      <c r="H49" s="125"/>
      <c r="I49" s="125"/>
      <c r="J49" s="125"/>
      <c r="K49" s="126"/>
      <c r="L49" s="3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>
      <c r="A50" s="122"/>
      <c r="B50" s="122"/>
      <c r="C50" s="74"/>
      <c r="D50" s="74"/>
      <c r="E50" s="74"/>
      <c r="F50" s="123"/>
      <c r="G50" s="124"/>
      <c r="H50" s="125"/>
      <c r="I50" s="125"/>
      <c r="J50" s="125"/>
      <c r="K50" s="126"/>
      <c r="L50" s="3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>
      <c r="A51" s="122"/>
      <c r="B51" s="122"/>
      <c r="C51" s="74"/>
      <c r="D51" s="74"/>
      <c r="E51" s="74"/>
      <c r="F51" s="123"/>
      <c r="G51" s="124"/>
      <c r="H51" s="125"/>
      <c r="I51" s="125"/>
      <c r="J51" s="125"/>
      <c r="K51" s="126"/>
      <c r="L51" s="3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>
      <c r="A52" s="122"/>
      <c r="B52" s="122"/>
      <c r="C52" s="74"/>
      <c r="D52" s="74"/>
      <c r="E52" s="74"/>
      <c r="F52" s="123"/>
      <c r="G52" s="124"/>
      <c r="H52" s="125"/>
      <c r="I52" s="125"/>
      <c r="J52" s="125"/>
      <c r="K52" s="126"/>
      <c r="L52" s="3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>
      <c r="A53" s="122"/>
      <c r="B53" s="122"/>
      <c r="C53" s="74"/>
      <c r="D53" s="74"/>
      <c r="E53" s="74"/>
      <c r="F53" s="123"/>
      <c r="G53" s="124"/>
      <c r="H53" s="125"/>
      <c r="I53" s="125"/>
      <c r="J53" s="125"/>
      <c r="K53" s="126"/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>
      <c r="A54" s="122"/>
      <c r="B54" s="122"/>
      <c r="C54" s="74"/>
      <c r="D54" s="74"/>
      <c r="E54" s="74"/>
      <c r="F54" s="123"/>
      <c r="G54" s="124"/>
      <c r="H54" s="125"/>
      <c r="I54" s="125"/>
      <c r="J54" s="125"/>
      <c r="K54" s="126"/>
      <c r="L54" s="38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>
      <c r="A55" s="122"/>
      <c r="B55" s="122"/>
      <c r="C55" s="74"/>
      <c r="D55" s="74"/>
      <c r="E55" s="74"/>
      <c r="F55" s="123"/>
      <c r="G55" s="124"/>
      <c r="H55" s="125"/>
      <c r="I55" s="125"/>
      <c r="J55" s="125"/>
      <c r="K55" s="126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>
      <c r="A56" s="122"/>
      <c r="B56" s="122"/>
      <c r="C56" s="74"/>
      <c r="D56" s="74"/>
      <c r="E56" s="74"/>
      <c r="F56" s="123"/>
      <c r="G56" s="124"/>
      <c r="H56" s="125"/>
      <c r="I56" s="125"/>
      <c r="J56" s="125"/>
      <c r="K56" s="126"/>
      <c r="L56" s="38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>
      <c r="A57" s="122"/>
      <c r="B57" s="122"/>
      <c r="C57" s="74"/>
      <c r="D57" s="74"/>
      <c r="E57" s="74"/>
      <c r="F57" s="123"/>
      <c r="G57" s="124"/>
      <c r="H57" s="125"/>
      <c r="I57" s="125"/>
      <c r="J57" s="125"/>
      <c r="K57" s="126"/>
      <c r="L57" s="38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>
      <c r="A58" s="122"/>
      <c r="B58" s="122"/>
      <c r="C58" s="74"/>
      <c r="D58" s="74"/>
      <c r="E58" s="74"/>
      <c r="F58" s="123"/>
      <c r="G58" s="124"/>
      <c r="H58" s="125"/>
      <c r="I58" s="125"/>
      <c r="J58" s="125"/>
      <c r="K58" s="126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>
      <c r="A59" s="122"/>
      <c r="B59" s="122"/>
      <c r="C59" s="74"/>
      <c r="D59" s="74"/>
      <c r="E59" s="74"/>
      <c r="F59" s="123"/>
      <c r="G59" s="124"/>
      <c r="H59" s="125"/>
      <c r="I59" s="125"/>
      <c r="J59" s="125"/>
      <c r="K59" s="126"/>
      <c r="L59" s="38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>
      <c r="A60" s="122"/>
      <c r="B60" s="122"/>
      <c r="C60" s="74"/>
      <c r="D60" s="74"/>
      <c r="E60" s="74"/>
      <c r="F60" s="123"/>
      <c r="G60" s="124"/>
      <c r="H60" s="125"/>
      <c r="I60" s="125"/>
      <c r="J60" s="125"/>
      <c r="K60" s="126"/>
      <c r="L60" s="38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>
      <c r="A61" s="122"/>
      <c r="B61" s="122"/>
      <c r="C61" s="74"/>
      <c r="D61" s="74"/>
      <c r="E61" s="74"/>
      <c r="F61" s="123"/>
      <c r="G61" s="124"/>
      <c r="H61" s="125"/>
      <c r="I61" s="125"/>
      <c r="J61" s="125"/>
      <c r="K61" s="126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>
      <c r="A62" s="122"/>
      <c r="B62" s="122"/>
      <c r="C62" s="74"/>
      <c r="D62" s="74"/>
      <c r="E62" s="74"/>
      <c r="F62" s="123"/>
      <c r="G62" s="124"/>
      <c r="H62" s="125"/>
      <c r="I62" s="125"/>
      <c r="J62" s="125"/>
      <c r="K62" s="126"/>
      <c r="L62" s="38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>
      <c r="A63" s="122"/>
      <c r="B63" s="122"/>
      <c r="C63" s="74"/>
      <c r="D63" s="74"/>
      <c r="E63" s="74"/>
      <c r="F63" s="123"/>
      <c r="G63" s="124"/>
      <c r="H63" s="125"/>
      <c r="I63" s="125"/>
      <c r="J63" s="125"/>
      <c r="K63" s="126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>
      <c r="A64" s="122"/>
      <c r="B64" s="122"/>
      <c r="C64" s="74"/>
      <c r="D64" s="74"/>
      <c r="E64" s="74"/>
      <c r="F64" s="123"/>
      <c r="G64" s="124"/>
      <c r="H64" s="125"/>
      <c r="I64" s="125"/>
      <c r="J64" s="125"/>
      <c r="K64" s="126"/>
      <c r="L64" s="38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>
      <c r="A65" s="122"/>
      <c r="B65" s="122"/>
      <c r="C65" s="74"/>
      <c r="D65" s="74"/>
      <c r="E65" s="74"/>
      <c r="F65" s="123"/>
      <c r="G65" s="124"/>
      <c r="H65" s="125"/>
      <c r="I65" s="125"/>
      <c r="J65" s="125"/>
      <c r="K65" s="126"/>
      <c r="L65" s="38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>
      <c r="A66" s="122"/>
      <c r="B66" s="122"/>
      <c r="C66" s="74"/>
      <c r="D66" s="74"/>
      <c r="E66" s="74"/>
      <c r="F66" s="123"/>
      <c r="G66" s="124"/>
      <c r="H66" s="125"/>
      <c r="I66" s="125"/>
      <c r="J66" s="125"/>
      <c r="K66" s="126"/>
      <c r="L66" s="38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</sheetData>
  <mergeCells count="14">
    <mergeCell ref="K8:L8"/>
    <mergeCell ref="M8:N8"/>
    <mergeCell ref="O8:P8"/>
    <mergeCell ref="U8:V8"/>
    <mergeCell ref="K19:Y19"/>
    <mergeCell ref="A12:Y12"/>
    <mergeCell ref="I20:J20"/>
    <mergeCell ref="Q20:R20"/>
    <mergeCell ref="K20:L20"/>
    <mergeCell ref="M20:N20"/>
    <mergeCell ref="W20:X20"/>
    <mergeCell ref="O20:P20"/>
    <mergeCell ref="U20:V20"/>
    <mergeCell ref="S20:T20"/>
  </mergeCells>
  <phoneticPr fontId="20" type="noConversion"/>
  <printOptions horizontalCentered="1"/>
  <pageMargins left="0.51" right="0.19685039370078741" top="0.52" bottom="0.39370078740157483" header="0.19685039370078741" footer="0"/>
  <pageSetup paperSize="9" scale="6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6"/>
  <sheetViews>
    <sheetView showGridLines="0" view="pageBreakPreview" topLeftCell="A99" zoomScaleNormal="90" zoomScaleSheetLayoutView="100" workbookViewId="0">
      <selection activeCell="H123" sqref="H123"/>
    </sheetView>
  </sheetViews>
  <sheetFormatPr baseColWidth="10" defaultRowHeight="12.75"/>
  <cols>
    <col min="1" max="1" width="8.85546875" style="697" customWidth="1"/>
    <col min="2" max="2" width="13.140625" style="697" customWidth="1"/>
    <col min="3" max="3" width="8.7109375" style="697" customWidth="1"/>
    <col min="4" max="4" width="33.140625" style="697" customWidth="1"/>
    <col min="5" max="5" width="17" style="697" customWidth="1"/>
    <col min="6" max="6" width="20.28515625" style="697" customWidth="1"/>
    <col min="7" max="7" width="14.140625" style="697" customWidth="1"/>
    <col min="8" max="8" width="15.42578125" style="697" customWidth="1"/>
    <col min="9" max="9" width="15.140625" style="697" customWidth="1"/>
    <col min="10" max="10" width="3.42578125" style="697" customWidth="1"/>
    <col min="11" max="11" width="22.28515625" style="697" customWidth="1"/>
    <col min="12" max="12" width="11.42578125" style="697"/>
    <col min="13" max="13" width="17.42578125" style="697" customWidth="1"/>
    <col min="14" max="16384" width="11.42578125" style="697"/>
  </cols>
  <sheetData>
    <row r="1" spans="1:10" s="819" customFormat="1" ht="38.25" customHeight="1">
      <c r="A1" s="855" t="s">
        <v>42</v>
      </c>
      <c r="B1" s="856"/>
      <c r="C1" s="856" t="s">
        <v>39</v>
      </c>
      <c r="D1" s="977" t="e">
        <f>+#REF!</f>
        <v>#REF!</v>
      </c>
      <c r="E1" s="977"/>
      <c r="F1" s="977"/>
      <c r="G1" s="977"/>
      <c r="H1" s="977"/>
      <c r="I1" s="854"/>
      <c r="J1" s="854"/>
    </row>
    <row r="2" spans="1:10" s="819" customFormat="1" ht="11.25">
      <c r="A2" s="857" t="s">
        <v>32</v>
      </c>
      <c r="B2" s="857"/>
      <c r="C2" s="857" t="s">
        <v>39</v>
      </c>
      <c r="D2" s="857" t="e">
        <f>+#REF!</f>
        <v>#REF!</v>
      </c>
      <c r="E2" s="857"/>
      <c r="F2" s="858"/>
      <c r="G2" s="858"/>
      <c r="H2" s="859"/>
      <c r="I2" s="818"/>
      <c r="J2" s="818"/>
    </row>
    <row r="3" spans="1:10" s="819" customFormat="1" ht="11.25">
      <c r="A3" s="857" t="s">
        <v>40</v>
      </c>
      <c r="B3" s="857"/>
      <c r="C3" s="857" t="s">
        <v>39</v>
      </c>
      <c r="D3" s="857" t="e">
        <f>+#REF!</f>
        <v>#REF!</v>
      </c>
      <c r="E3" s="857"/>
      <c r="F3" s="858"/>
      <c r="G3" s="858"/>
      <c r="H3" s="859"/>
      <c r="I3" s="818"/>
      <c r="J3" s="818"/>
    </row>
    <row r="4" spans="1:10" s="819" customFormat="1" ht="11.25">
      <c r="A4" s="857" t="s">
        <v>33</v>
      </c>
      <c r="B4" s="857"/>
      <c r="C4" s="857" t="s">
        <v>39</v>
      </c>
      <c r="D4" s="857" t="e">
        <f>+#REF!</f>
        <v>#REF!</v>
      </c>
      <c r="E4" s="857"/>
      <c r="F4" s="858"/>
      <c r="G4" s="858"/>
      <c r="H4" s="859"/>
      <c r="I4" s="818"/>
      <c r="J4" s="818"/>
    </row>
    <row r="5" spans="1:10" s="819" customFormat="1" ht="11.25">
      <c r="A5" s="857" t="s">
        <v>23</v>
      </c>
      <c r="B5" s="857"/>
      <c r="C5" s="857" t="s">
        <v>39</v>
      </c>
      <c r="D5" s="857" t="e">
        <f>+#REF!</f>
        <v>#REF!</v>
      </c>
      <c r="E5" s="857"/>
      <c r="F5" s="858"/>
      <c r="G5" s="858"/>
      <c r="H5" s="859"/>
      <c r="I5" s="818"/>
      <c r="J5" s="818"/>
    </row>
    <row r="6" spans="1:10" s="819" customFormat="1" ht="11.25">
      <c r="A6" s="857" t="s">
        <v>41</v>
      </c>
      <c r="B6" s="857"/>
      <c r="C6" s="857" t="s">
        <v>39</v>
      </c>
      <c r="D6" s="860" t="e">
        <f>+#REF!</f>
        <v>#REF!</v>
      </c>
      <c r="E6" s="857"/>
      <c r="F6" s="858"/>
      <c r="G6" s="858"/>
      <c r="H6" s="859"/>
      <c r="I6" s="818"/>
      <c r="J6" s="818"/>
    </row>
    <row r="7" spans="1:10" s="819" customFormat="1" ht="15" customHeight="1">
      <c r="A7" s="857" t="s">
        <v>31</v>
      </c>
      <c r="B7" s="857"/>
      <c r="C7" s="857" t="s">
        <v>39</v>
      </c>
      <c r="D7" s="861" t="e">
        <f>+#REF!</f>
        <v>#REF!</v>
      </c>
      <c r="E7" s="862" t="s">
        <v>334</v>
      </c>
      <c r="F7" s="858"/>
      <c r="G7" s="858"/>
      <c r="H7" s="863"/>
      <c r="I7" s="852"/>
      <c r="J7" s="852"/>
    </row>
    <row r="8" spans="1:10" s="819" customFormat="1" ht="15" customHeight="1">
      <c r="A8" s="864" t="s">
        <v>19</v>
      </c>
      <c r="B8" s="864"/>
      <c r="C8" s="857" t="s">
        <v>39</v>
      </c>
      <c r="D8" s="861" t="e">
        <f>+D7/1.18</f>
        <v>#REF!</v>
      </c>
      <c r="E8" s="862" t="s">
        <v>430</v>
      </c>
      <c r="F8" s="865"/>
      <c r="G8" s="865"/>
      <c r="H8" s="866"/>
      <c r="I8" s="853"/>
      <c r="J8" s="853"/>
    </row>
    <row r="9" spans="1:10">
      <c r="A9" s="700"/>
      <c r="B9" s="700"/>
      <c r="C9" s="696"/>
      <c r="D9" s="699"/>
      <c r="E9" s="701"/>
      <c r="F9" s="702"/>
      <c r="G9" s="702"/>
      <c r="H9" s="702"/>
      <c r="I9" s="703"/>
      <c r="J9" s="698"/>
    </row>
    <row r="10" spans="1:10">
      <c r="A10" s="700"/>
      <c r="B10" s="700"/>
      <c r="C10" s="696"/>
      <c r="D10" s="699"/>
      <c r="E10" s="701"/>
      <c r="F10" s="702"/>
      <c r="G10" s="702"/>
      <c r="H10" s="702"/>
      <c r="I10" s="703"/>
      <c r="J10" s="698"/>
    </row>
    <row r="11" spans="1:10" ht="20.25">
      <c r="A11" s="704" t="s">
        <v>371</v>
      </c>
      <c r="B11" s="705"/>
      <c r="C11" s="705"/>
      <c r="D11" s="705"/>
      <c r="E11" s="705"/>
      <c r="F11" s="705"/>
      <c r="G11" s="705"/>
      <c r="H11" s="705"/>
    </row>
    <row r="12" spans="1:10">
      <c r="A12" s="706"/>
      <c r="B12" s="706"/>
      <c r="C12" s="706"/>
      <c r="D12" s="706"/>
      <c r="E12" s="706"/>
      <c r="F12" s="706"/>
      <c r="G12" s="706"/>
      <c r="H12" s="706"/>
    </row>
    <row r="13" spans="1:10">
      <c r="A13" s="706"/>
      <c r="B13" s="707" t="s">
        <v>372</v>
      </c>
      <c r="C13" s="706"/>
      <c r="D13" s="462">
        <v>4000000</v>
      </c>
      <c r="E13" s="708" t="s">
        <v>524</v>
      </c>
      <c r="F13" s="706"/>
      <c r="H13" s="706"/>
    </row>
    <row r="14" spans="1:10">
      <c r="A14" s="706"/>
      <c r="B14" s="706"/>
      <c r="C14" s="706"/>
      <c r="D14" s="462">
        <f>+D13/1.18</f>
        <v>3389830.5084745763</v>
      </c>
      <c r="E14" s="708" t="s">
        <v>373</v>
      </c>
      <c r="F14" s="706"/>
      <c r="G14" s="706"/>
      <c r="H14" s="706"/>
    </row>
    <row r="15" spans="1:10">
      <c r="A15" s="709"/>
      <c r="B15" s="709"/>
      <c r="C15" s="709"/>
      <c r="D15" s="710"/>
      <c r="E15" s="711"/>
      <c r="F15" s="709"/>
      <c r="G15" s="706"/>
      <c r="H15" s="706"/>
    </row>
    <row r="16" spans="1:10" ht="15.75">
      <c r="A16" s="712" t="s">
        <v>374</v>
      </c>
      <c r="B16" s="713"/>
      <c r="C16" s="713"/>
      <c r="D16" s="400"/>
      <c r="E16" s="714"/>
      <c r="F16" s="713"/>
      <c r="G16" s="706"/>
      <c r="H16" s="706"/>
    </row>
    <row r="17" spans="1:13" ht="15.75">
      <c r="A17" s="716" t="s">
        <v>375</v>
      </c>
      <c r="B17" s="715"/>
      <c r="C17" s="715"/>
      <c r="D17" s="715"/>
      <c r="E17" s="717"/>
      <c r="F17" s="706"/>
      <c r="G17" s="706"/>
      <c r="H17" s="706"/>
    </row>
    <row r="18" spans="1:13" ht="14.25">
      <c r="A18" s="718" t="s">
        <v>376</v>
      </c>
      <c r="B18" s="718"/>
      <c r="C18" s="718"/>
      <c r="D18" s="718"/>
      <c r="E18" s="719"/>
      <c r="F18" s="706"/>
      <c r="G18" s="706"/>
      <c r="H18" s="706"/>
    </row>
    <row r="19" spans="1:13" ht="14.25">
      <c r="A19" s="718" t="s">
        <v>377</v>
      </c>
      <c r="B19" s="718"/>
      <c r="C19" s="718"/>
      <c r="D19" s="718"/>
      <c r="E19" s="719"/>
      <c r="F19" s="706"/>
      <c r="G19" s="706"/>
      <c r="H19" s="706"/>
    </row>
    <row r="20" spans="1:13" ht="14.25">
      <c r="A20" s="720" t="s">
        <v>522</v>
      </c>
      <c r="B20" s="718"/>
      <c r="C20" s="718"/>
      <c r="D20" s="718"/>
      <c r="E20" s="719"/>
      <c r="F20" s="706"/>
      <c r="G20" s="706"/>
      <c r="H20" s="706"/>
    </row>
    <row r="21" spans="1:13" ht="14.25">
      <c r="A21" s="720" t="s">
        <v>484</v>
      </c>
      <c r="B21" s="718"/>
      <c r="C21" s="718"/>
      <c r="D21" s="718"/>
      <c r="E21" s="719"/>
      <c r="F21" s="706"/>
      <c r="G21" s="706"/>
      <c r="H21" s="706"/>
    </row>
    <row r="22" spans="1:13" ht="14.25">
      <c r="A22" s="720"/>
      <c r="B22" s="718"/>
      <c r="C22" s="718"/>
      <c r="D22" s="718"/>
      <c r="E22" s="719"/>
      <c r="F22" s="706"/>
      <c r="G22" s="706"/>
      <c r="H22" s="706"/>
    </row>
    <row r="23" spans="1:13" ht="18">
      <c r="A23" s="968" t="s">
        <v>521</v>
      </c>
      <c r="B23" s="969"/>
      <c r="C23" s="969"/>
      <c r="D23" s="969"/>
      <c r="E23" s="969"/>
      <c r="F23" s="969"/>
      <c r="G23" s="969"/>
      <c r="H23" s="969"/>
      <c r="I23" s="970"/>
    </row>
    <row r="24" spans="1:13" ht="18">
      <c r="A24" s="814"/>
      <c r="B24" s="814"/>
      <c r="C24" s="814"/>
      <c r="D24" s="814"/>
      <c r="E24" s="814"/>
      <c r="F24" s="814"/>
      <c r="G24" s="814"/>
      <c r="H24" s="814"/>
      <c r="I24" s="814"/>
    </row>
    <row r="25" spans="1:13" ht="15.75">
      <c r="A25" s="721"/>
      <c r="B25" s="706"/>
      <c r="C25" s="722"/>
      <c r="D25" s="713"/>
      <c r="E25" s="706"/>
      <c r="F25" s="706"/>
      <c r="G25" s="706"/>
      <c r="H25" s="706"/>
    </row>
    <row r="26" spans="1:13" ht="15.75">
      <c r="A26" s="723" t="s">
        <v>523</v>
      </c>
      <c r="B26" s="706"/>
      <c r="C26" s="722"/>
      <c r="D26" s="713"/>
      <c r="E26" s="706"/>
      <c r="F26" s="706"/>
      <c r="G26" s="463"/>
      <c r="H26" s="706"/>
    </row>
    <row r="27" spans="1:13">
      <c r="A27" s="724"/>
      <c r="B27" s="725"/>
      <c r="C27" s="725"/>
      <c r="D27" s="725"/>
      <c r="E27" s="725"/>
      <c r="F27" s="725"/>
      <c r="G27" s="847"/>
      <c r="H27" s="847"/>
      <c r="I27" s="725"/>
      <c r="K27" s="726" t="s">
        <v>378</v>
      </c>
    </row>
    <row r="28" spans="1:13" ht="17.25" thickBot="1">
      <c r="A28" s="727" t="s">
        <v>496</v>
      </c>
      <c r="B28" s="727"/>
      <c r="C28" s="727"/>
      <c r="D28" s="706"/>
      <c r="E28" s="727" t="s">
        <v>379</v>
      </c>
      <c r="F28" s="722">
        <v>118074.83</v>
      </c>
      <c r="G28" s="728"/>
      <c r="H28" s="729" t="s">
        <v>497</v>
      </c>
      <c r="K28" s="730">
        <f>ROUND(+F28*1.18,2)</f>
        <v>139328.29999999999</v>
      </c>
    </row>
    <row r="29" spans="1:13">
      <c r="A29" s="731" t="s">
        <v>458</v>
      </c>
      <c r="B29" s="732" t="s">
        <v>41</v>
      </c>
      <c r="C29" s="732" t="s">
        <v>495</v>
      </c>
      <c r="D29" s="732" t="s">
        <v>459</v>
      </c>
      <c r="E29" s="732" t="s">
        <v>381</v>
      </c>
      <c r="F29" s="733" t="s">
        <v>382</v>
      </c>
      <c r="G29" s="732" t="s">
        <v>383</v>
      </c>
      <c r="H29" s="734" t="s">
        <v>384</v>
      </c>
      <c r="I29" s="732" t="s">
        <v>385</v>
      </c>
      <c r="K29" s="735"/>
    </row>
    <row r="30" spans="1:13" ht="16.5" thickBot="1">
      <c r="A30" s="736"/>
      <c r="B30" s="737"/>
      <c r="C30" s="738"/>
      <c r="D30" s="738" t="s">
        <v>498</v>
      </c>
      <c r="E30" s="739"/>
      <c r="F30" s="740"/>
      <c r="G30" s="741"/>
      <c r="H30" s="742" t="s">
        <v>386</v>
      </c>
      <c r="I30" s="738" t="s">
        <v>387</v>
      </c>
      <c r="K30" s="735"/>
    </row>
    <row r="31" spans="1:13" ht="14.25">
      <c r="A31" s="743">
        <v>1</v>
      </c>
      <c r="B31" s="744" t="s">
        <v>485</v>
      </c>
      <c r="C31" s="846">
        <v>5.0999999999999997E-2</v>
      </c>
      <c r="D31" s="843" t="e">
        <f>+#REF!</f>
        <v>#REF!</v>
      </c>
      <c r="E31" s="746">
        <v>496.56</v>
      </c>
      <c r="F31" s="746">
        <v>451.86</v>
      </c>
      <c r="G31" s="745" t="e">
        <f>ROUND(+C31*D31*E31/F31,2)</f>
        <v>#REF!</v>
      </c>
      <c r="H31" s="850">
        <v>0</v>
      </c>
      <c r="I31" s="747">
        <f>+F28-H31</f>
        <v>118074.83</v>
      </c>
      <c r="J31" s="211"/>
      <c r="K31" s="735"/>
      <c r="M31" s="211"/>
    </row>
    <row r="32" spans="1:13" ht="14.25">
      <c r="A32" s="748">
        <v>2</v>
      </c>
      <c r="B32" s="749" t="s">
        <v>486</v>
      </c>
      <c r="C32" s="845">
        <v>5.0999999999999997E-2</v>
      </c>
      <c r="D32" s="843" t="e">
        <f>+#REF!</f>
        <v>#REF!</v>
      </c>
      <c r="E32" s="746">
        <f>+E31</f>
        <v>496.56</v>
      </c>
      <c r="F32" s="750">
        <v>451.86</v>
      </c>
      <c r="G32" s="745" t="e">
        <f t="shared" ref="G32:G40" si="0">ROUND(+C32*D32*E32/F32,2)</f>
        <v>#REF!</v>
      </c>
      <c r="H32" s="850">
        <v>9903.7099999999991</v>
      </c>
      <c r="I32" s="752">
        <f>+I31-H32</f>
        <v>108171.12</v>
      </c>
      <c r="J32" s="211"/>
      <c r="K32" s="735"/>
      <c r="M32" s="211"/>
    </row>
    <row r="33" spans="1:13" ht="14.25">
      <c r="A33" s="748">
        <v>3</v>
      </c>
      <c r="B33" s="749" t="s">
        <v>487</v>
      </c>
      <c r="C33" s="845">
        <v>5.0999999999999997E-2</v>
      </c>
      <c r="D33" s="843" t="e">
        <f>+#REF!</f>
        <v>#REF!</v>
      </c>
      <c r="E33" s="746">
        <f t="shared" ref="E33:E40" si="1">+E32</f>
        <v>496.56</v>
      </c>
      <c r="F33" s="750">
        <v>451.86</v>
      </c>
      <c r="G33" s="745" t="e">
        <f t="shared" si="0"/>
        <v>#REF!</v>
      </c>
      <c r="H33" s="850">
        <v>39157.39</v>
      </c>
      <c r="I33" s="752">
        <f t="shared" ref="I33:I40" si="2">+I32-H33</f>
        <v>69013.73</v>
      </c>
      <c r="J33" s="211"/>
      <c r="K33" s="735"/>
      <c r="M33" s="211"/>
    </row>
    <row r="34" spans="1:13" ht="14.25">
      <c r="A34" s="748">
        <v>4</v>
      </c>
      <c r="B34" s="749" t="s">
        <v>488</v>
      </c>
      <c r="C34" s="845">
        <v>5.0999999999999997E-2</v>
      </c>
      <c r="D34" s="843" t="e">
        <f>+#REF!</f>
        <v>#REF!</v>
      </c>
      <c r="E34" s="746">
        <f t="shared" si="1"/>
        <v>496.56</v>
      </c>
      <c r="F34" s="750">
        <v>451.86</v>
      </c>
      <c r="G34" s="745" t="e">
        <f t="shared" si="0"/>
        <v>#REF!</v>
      </c>
      <c r="H34" s="850">
        <v>0</v>
      </c>
      <c r="I34" s="752">
        <f t="shared" si="2"/>
        <v>69013.73</v>
      </c>
      <c r="J34" s="211"/>
      <c r="K34" s="735"/>
      <c r="M34" s="211"/>
    </row>
    <row r="35" spans="1:13" ht="14.25">
      <c r="A35" s="748">
        <v>5</v>
      </c>
      <c r="B35" s="749" t="s">
        <v>489</v>
      </c>
      <c r="C35" s="845">
        <v>5.0999999999999997E-2</v>
      </c>
      <c r="D35" s="843" t="e">
        <f>+#REF!</f>
        <v>#REF!</v>
      </c>
      <c r="E35" s="746">
        <f t="shared" si="1"/>
        <v>496.56</v>
      </c>
      <c r="F35" s="750">
        <v>451.86</v>
      </c>
      <c r="G35" s="843" t="e">
        <f t="shared" si="0"/>
        <v>#REF!</v>
      </c>
      <c r="H35" s="843">
        <v>69013.73</v>
      </c>
      <c r="I35" s="752">
        <f t="shared" si="2"/>
        <v>0</v>
      </c>
      <c r="J35" s="211"/>
      <c r="K35" s="735"/>
      <c r="M35" s="211"/>
    </row>
    <row r="36" spans="1:13" ht="14.25">
      <c r="A36" s="748">
        <v>6</v>
      </c>
      <c r="B36" s="749" t="s">
        <v>490</v>
      </c>
      <c r="C36" s="845">
        <v>5.0999999999999997E-2</v>
      </c>
      <c r="D36" s="843" t="e">
        <f>+#REF!</f>
        <v>#REF!</v>
      </c>
      <c r="E36" s="746">
        <f t="shared" si="1"/>
        <v>496.56</v>
      </c>
      <c r="F36" s="750">
        <v>451.86</v>
      </c>
      <c r="G36" s="843" t="e">
        <f t="shared" si="0"/>
        <v>#REF!</v>
      </c>
      <c r="H36" s="843">
        <v>0</v>
      </c>
      <c r="I36" s="752">
        <f t="shared" si="2"/>
        <v>0</v>
      </c>
      <c r="J36" s="211"/>
      <c r="K36" s="735"/>
      <c r="M36" s="211"/>
    </row>
    <row r="37" spans="1:13" ht="14.25">
      <c r="A37" s="748">
        <v>7</v>
      </c>
      <c r="B37" s="749" t="s">
        <v>491</v>
      </c>
      <c r="C37" s="845">
        <v>5.0999999999999997E-2</v>
      </c>
      <c r="D37" s="843" t="e">
        <f>+#REF!</f>
        <v>#REF!</v>
      </c>
      <c r="E37" s="746">
        <f t="shared" si="1"/>
        <v>496.56</v>
      </c>
      <c r="F37" s="750">
        <v>451.86</v>
      </c>
      <c r="G37" s="843" t="e">
        <f t="shared" si="0"/>
        <v>#REF!</v>
      </c>
      <c r="H37" s="843">
        <v>0</v>
      </c>
      <c r="I37" s="752">
        <f t="shared" si="2"/>
        <v>0</v>
      </c>
      <c r="J37" s="211"/>
      <c r="K37" s="735"/>
      <c r="M37" s="211"/>
    </row>
    <row r="38" spans="1:13" ht="14.25">
      <c r="A38" s="748">
        <v>8</v>
      </c>
      <c r="B38" s="749" t="s">
        <v>492</v>
      </c>
      <c r="C38" s="845">
        <v>5.0999999999999997E-2</v>
      </c>
      <c r="D38" s="843" t="e">
        <f>+#REF!</f>
        <v>#REF!</v>
      </c>
      <c r="E38" s="746">
        <f t="shared" si="1"/>
        <v>496.56</v>
      </c>
      <c r="F38" s="750">
        <v>451.86</v>
      </c>
      <c r="G38" s="843" t="e">
        <f t="shared" si="0"/>
        <v>#REF!</v>
      </c>
      <c r="H38" s="843" t="e">
        <f>+G38*C38</f>
        <v>#REF!</v>
      </c>
      <c r="I38" s="752" t="e">
        <f t="shared" si="2"/>
        <v>#REF!</v>
      </c>
      <c r="J38" s="211"/>
      <c r="K38" s="735"/>
      <c r="M38" s="211"/>
    </row>
    <row r="39" spans="1:13" ht="14.25">
      <c r="A39" s="748">
        <v>9</v>
      </c>
      <c r="B39" s="749" t="s">
        <v>493</v>
      </c>
      <c r="C39" s="845">
        <v>5.0999999999999997E-2</v>
      </c>
      <c r="D39" s="843" t="e">
        <f>+#REF!</f>
        <v>#REF!</v>
      </c>
      <c r="E39" s="746">
        <f t="shared" si="1"/>
        <v>496.56</v>
      </c>
      <c r="F39" s="750">
        <v>451.86</v>
      </c>
      <c r="G39" s="843" t="e">
        <f t="shared" si="0"/>
        <v>#REF!</v>
      </c>
      <c r="H39" s="843" t="e">
        <f>+G39*C39</f>
        <v>#REF!</v>
      </c>
      <c r="I39" s="752" t="e">
        <f t="shared" si="2"/>
        <v>#REF!</v>
      </c>
      <c r="J39" s="211"/>
      <c r="K39" s="735"/>
      <c r="M39" s="211"/>
    </row>
    <row r="40" spans="1:13" ht="14.25">
      <c r="A40" s="748">
        <v>10</v>
      </c>
      <c r="B40" s="749" t="s">
        <v>494</v>
      </c>
      <c r="C40" s="845">
        <v>5.0999999999999997E-2</v>
      </c>
      <c r="D40" s="843" t="e">
        <f>+#REF!</f>
        <v>#REF!</v>
      </c>
      <c r="E40" s="746">
        <f t="shared" si="1"/>
        <v>496.56</v>
      </c>
      <c r="F40" s="750">
        <v>451.86</v>
      </c>
      <c r="G40" s="843" t="e">
        <f t="shared" si="0"/>
        <v>#REF!</v>
      </c>
      <c r="H40" s="843" t="e">
        <f>+G40*C40</f>
        <v>#REF!</v>
      </c>
      <c r="I40" s="752" t="e">
        <f t="shared" si="2"/>
        <v>#REF!</v>
      </c>
      <c r="J40" s="211"/>
      <c r="K40" s="735"/>
    </row>
    <row r="41" spans="1:13" ht="15.75" thickBot="1">
      <c r="A41" s="748"/>
      <c r="B41" s="754"/>
      <c r="C41" s="844"/>
      <c r="D41" s="805"/>
      <c r="E41" s="746"/>
      <c r="F41" s="750"/>
      <c r="G41" s="751"/>
      <c r="H41" s="753"/>
      <c r="I41" s="752"/>
      <c r="K41" s="735"/>
    </row>
    <row r="42" spans="1:13" ht="15.75" thickBot="1">
      <c r="A42" s="755" t="s">
        <v>388</v>
      </c>
      <c r="B42" s="756"/>
      <c r="C42" s="757"/>
      <c r="D42" s="806" t="e">
        <f>SUM(D31:D41)</f>
        <v>#REF!</v>
      </c>
      <c r="E42" s="757"/>
      <c r="F42" s="758"/>
      <c r="G42" s="759"/>
      <c r="H42" s="760" t="e">
        <f>SUM(H31:H41)</f>
        <v>#REF!</v>
      </c>
      <c r="I42" s="880" t="e">
        <f>+I40</f>
        <v>#REF!</v>
      </c>
      <c r="K42" s="735"/>
    </row>
    <row r="43" spans="1:13" ht="15">
      <c r="A43" s="761"/>
      <c r="B43" s="762"/>
      <c r="C43" s="763"/>
      <c r="D43" s="815"/>
      <c r="E43" s="763"/>
      <c r="F43" s="709"/>
      <c r="G43" s="764"/>
      <c r="H43" s="815"/>
      <c r="I43" s="765"/>
      <c r="K43" s="735"/>
    </row>
    <row r="44" spans="1:13" ht="15">
      <c r="A44" s="761"/>
      <c r="B44" s="762"/>
      <c r="C44" s="763"/>
      <c r="D44" s="815"/>
      <c r="E44" s="763"/>
      <c r="F44" s="709"/>
      <c r="G44" s="764"/>
      <c r="H44" s="815"/>
      <c r="I44" s="765"/>
      <c r="K44" s="735"/>
    </row>
    <row r="45" spans="1:13" ht="15">
      <c r="A45" s="761"/>
      <c r="B45" s="762"/>
      <c r="C45" s="763"/>
      <c r="D45" s="762"/>
      <c r="E45" s="763"/>
      <c r="F45" s="709"/>
      <c r="G45" s="764"/>
      <c r="H45" s="765"/>
      <c r="I45" s="765"/>
      <c r="K45" s="735"/>
    </row>
    <row r="46" spans="1:13" ht="16.5" thickBot="1">
      <c r="A46" s="727" t="s">
        <v>499</v>
      </c>
      <c r="B46" s="727"/>
      <c r="C46" s="727"/>
      <c r="D46" s="706"/>
      <c r="E46" s="727" t="s">
        <v>379</v>
      </c>
      <c r="F46" s="722">
        <v>96669.11</v>
      </c>
      <c r="G46" s="727"/>
      <c r="H46" s="729" t="s">
        <v>431</v>
      </c>
      <c r="K46" s="730">
        <f>ROUND(+F46*1.18,2)</f>
        <v>114069.55</v>
      </c>
    </row>
    <row r="47" spans="1:13">
      <c r="A47" s="731" t="s">
        <v>458</v>
      </c>
      <c r="B47" s="732" t="s">
        <v>41</v>
      </c>
      <c r="C47" s="732" t="s">
        <v>503</v>
      </c>
      <c r="D47" s="732" t="s">
        <v>459</v>
      </c>
      <c r="E47" s="732" t="s">
        <v>381</v>
      </c>
      <c r="F47" s="733" t="s">
        <v>382</v>
      </c>
      <c r="G47" s="732" t="s">
        <v>383</v>
      </c>
      <c r="H47" s="734" t="s">
        <v>384</v>
      </c>
      <c r="I47" s="732" t="s">
        <v>385</v>
      </c>
      <c r="K47" s="735"/>
    </row>
    <row r="48" spans="1:13" ht="16.5" thickBot="1">
      <c r="A48" s="736"/>
      <c r="B48" s="737"/>
      <c r="C48" s="738"/>
      <c r="D48" s="738" t="s">
        <v>460</v>
      </c>
      <c r="E48" s="739"/>
      <c r="F48" s="740"/>
      <c r="G48" s="741"/>
      <c r="H48" s="742" t="s">
        <v>386</v>
      </c>
      <c r="I48" s="738" t="s">
        <v>387</v>
      </c>
      <c r="K48" s="735"/>
    </row>
    <row r="49" spans="1:11" ht="14.25">
      <c r="A49" s="743">
        <v>1</v>
      </c>
      <c r="B49" s="744" t="s">
        <v>485</v>
      </c>
      <c r="C49" s="848">
        <v>6.5000000000000002E-2</v>
      </c>
      <c r="D49" s="745" t="e">
        <f t="shared" ref="D49:D58" si="3">+D31</f>
        <v>#REF!</v>
      </c>
      <c r="E49" s="750">
        <v>410.96</v>
      </c>
      <c r="F49" s="750">
        <v>410.96</v>
      </c>
      <c r="G49" s="745" t="e">
        <f>ROUND(+C49*D49*E49/F49,2)</f>
        <v>#REF!</v>
      </c>
      <c r="H49" s="849">
        <v>0</v>
      </c>
      <c r="I49" s="766">
        <f>+F46-H49</f>
        <v>96669.11</v>
      </c>
      <c r="J49" s="211"/>
      <c r="K49" s="735" t="s">
        <v>433</v>
      </c>
    </row>
    <row r="50" spans="1:11" ht="14.25">
      <c r="A50" s="748">
        <v>2</v>
      </c>
      <c r="B50" s="749" t="s">
        <v>486</v>
      </c>
      <c r="C50" s="848">
        <v>6.5000000000000002E-2</v>
      </c>
      <c r="D50" s="745" t="e">
        <f t="shared" si="3"/>
        <v>#REF!</v>
      </c>
      <c r="E50" s="750">
        <f>+E49</f>
        <v>410.96</v>
      </c>
      <c r="F50" s="750">
        <v>410.96</v>
      </c>
      <c r="G50" s="745" t="e">
        <f>ROUND(+C50*D50*E50/F50,2)</f>
        <v>#REF!</v>
      </c>
      <c r="H50" s="849">
        <v>7922.97</v>
      </c>
      <c r="I50" s="752">
        <f t="shared" ref="I50:I58" si="4">+I49-H50</f>
        <v>88746.14</v>
      </c>
      <c r="J50" s="211"/>
      <c r="K50" s="735"/>
    </row>
    <row r="51" spans="1:11" ht="14.25">
      <c r="A51" s="748">
        <v>3</v>
      </c>
      <c r="B51" s="749" t="s">
        <v>487</v>
      </c>
      <c r="C51" s="848">
        <v>6.5000000000000002E-2</v>
      </c>
      <c r="D51" s="745" t="e">
        <f t="shared" si="3"/>
        <v>#REF!</v>
      </c>
      <c r="E51" s="750">
        <f t="shared" ref="E51:E58" si="5">+E50</f>
        <v>410.96</v>
      </c>
      <c r="F51" s="750">
        <v>410.96</v>
      </c>
      <c r="G51" s="745" t="e">
        <f t="shared" ref="G51:G58" si="6">ROUND(+C51*D51*E51/F51,2)</f>
        <v>#REF!</v>
      </c>
      <c r="H51" s="849">
        <v>30455.74</v>
      </c>
      <c r="I51" s="752">
        <f t="shared" si="4"/>
        <v>58290.399999999994</v>
      </c>
      <c r="J51" s="211"/>
      <c r="K51" s="735"/>
    </row>
    <row r="52" spans="1:11" ht="14.25">
      <c r="A52" s="748">
        <v>4</v>
      </c>
      <c r="B52" s="749" t="s">
        <v>488</v>
      </c>
      <c r="C52" s="848">
        <v>6.5000000000000002E-2</v>
      </c>
      <c r="D52" s="745" t="e">
        <f t="shared" si="3"/>
        <v>#REF!</v>
      </c>
      <c r="E52" s="750">
        <f t="shared" si="5"/>
        <v>410.96</v>
      </c>
      <c r="F52" s="750">
        <v>410.96</v>
      </c>
      <c r="G52" s="745" t="e">
        <f t="shared" si="6"/>
        <v>#REF!</v>
      </c>
      <c r="H52" s="849">
        <v>0</v>
      </c>
      <c r="I52" s="752">
        <f t="shared" si="4"/>
        <v>58290.399999999994</v>
      </c>
      <c r="J52" s="211"/>
      <c r="K52" s="735"/>
    </row>
    <row r="53" spans="1:11" ht="14.25">
      <c r="A53" s="748">
        <v>5</v>
      </c>
      <c r="B53" s="749" t="s">
        <v>489</v>
      </c>
      <c r="C53" s="848">
        <v>6.5000000000000002E-2</v>
      </c>
      <c r="D53" s="745" t="e">
        <f t="shared" si="3"/>
        <v>#REF!</v>
      </c>
      <c r="E53" s="750">
        <f t="shared" si="5"/>
        <v>410.96</v>
      </c>
      <c r="F53" s="750">
        <v>410.96</v>
      </c>
      <c r="G53" s="745" t="e">
        <f t="shared" si="6"/>
        <v>#REF!</v>
      </c>
      <c r="H53" s="751">
        <v>58290.400000000001</v>
      </c>
      <c r="I53" s="752">
        <f t="shared" si="4"/>
        <v>0</v>
      </c>
      <c r="J53" s="211"/>
      <c r="K53" s="735"/>
    </row>
    <row r="54" spans="1:11" ht="14.25">
      <c r="A54" s="748">
        <v>6</v>
      </c>
      <c r="B54" s="749" t="s">
        <v>490</v>
      </c>
      <c r="C54" s="848">
        <v>6.5000000000000002E-2</v>
      </c>
      <c r="D54" s="745" t="e">
        <f t="shared" si="3"/>
        <v>#REF!</v>
      </c>
      <c r="E54" s="750">
        <f t="shared" si="5"/>
        <v>410.96</v>
      </c>
      <c r="F54" s="750">
        <v>410.96</v>
      </c>
      <c r="G54" s="745" t="e">
        <f t="shared" si="6"/>
        <v>#REF!</v>
      </c>
      <c r="H54" s="751">
        <v>0</v>
      </c>
      <c r="I54" s="752">
        <f t="shared" si="4"/>
        <v>0</v>
      </c>
      <c r="J54" s="211"/>
      <c r="K54" s="735"/>
    </row>
    <row r="55" spans="1:11" ht="14.25">
      <c r="A55" s="748">
        <v>7</v>
      </c>
      <c r="B55" s="749" t="s">
        <v>491</v>
      </c>
      <c r="C55" s="848">
        <v>6.5000000000000002E-2</v>
      </c>
      <c r="D55" s="745" t="e">
        <f t="shared" si="3"/>
        <v>#REF!</v>
      </c>
      <c r="E55" s="750">
        <f t="shared" si="5"/>
        <v>410.96</v>
      </c>
      <c r="F55" s="750">
        <v>410.96</v>
      </c>
      <c r="G55" s="745" t="e">
        <f t="shared" si="6"/>
        <v>#REF!</v>
      </c>
      <c r="H55" s="751">
        <v>0</v>
      </c>
      <c r="I55" s="752">
        <f t="shared" si="4"/>
        <v>0</v>
      </c>
      <c r="J55" s="211"/>
      <c r="K55" s="735"/>
    </row>
    <row r="56" spans="1:11" ht="14.25">
      <c r="A56" s="748">
        <v>8</v>
      </c>
      <c r="B56" s="749" t="s">
        <v>492</v>
      </c>
      <c r="C56" s="848">
        <v>6.5000000000000002E-2</v>
      </c>
      <c r="D56" s="745" t="e">
        <f t="shared" si="3"/>
        <v>#REF!</v>
      </c>
      <c r="E56" s="750">
        <f t="shared" si="5"/>
        <v>410.96</v>
      </c>
      <c r="F56" s="750">
        <v>410.96</v>
      </c>
      <c r="G56" s="745" t="e">
        <f t="shared" si="6"/>
        <v>#REF!</v>
      </c>
      <c r="H56" s="751"/>
      <c r="I56" s="752">
        <f t="shared" si="4"/>
        <v>0</v>
      </c>
      <c r="J56" s="211"/>
      <c r="K56" s="735"/>
    </row>
    <row r="57" spans="1:11" ht="14.25">
      <c r="A57" s="748">
        <v>9</v>
      </c>
      <c r="B57" s="749" t="s">
        <v>493</v>
      </c>
      <c r="C57" s="848">
        <v>6.5000000000000002E-2</v>
      </c>
      <c r="D57" s="745" t="e">
        <f t="shared" si="3"/>
        <v>#REF!</v>
      </c>
      <c r="E57" s="750">
        <f t="shared" si="5"/>
        <v>410.96</v>
      </c>
      <c r="F57" s="750">
        <v>410.96</v>
      </c>
      <c r="G57" s="745" t="e">
        <f t="shared" si="6"/>
        <v>#REF!</v>
      </c>
      <c r="H57" s="751"/>
      <c r="I57" s="752">
        <f t="shared" si="4"/>
        <v>0</v>
      </c>
      <c r="J57" s="211"/>
      <c r="K57" s="735"/>
    </row>
    <row r="58" spans="1:11" ht="14.25">
      <c r="A58" s="748">
        <v>10</v>
      </c>
      <c r="B58" s="749" t="s">
        <v>494</v>
      </c>
      <c r="C58" s="848">
        <v>6.5000000000000002E-2</v>
      </c>
      <c r="D58" s="745" t="e">
        <f t="shared" si="3"/>
        <v>#REF!</v>
      </c>
      <c r="E58" s="750">
        <f t="shared" si="5"/>
        <v>410.96</v>
      </c>
      <c r="F58" s="750">
        <v>410.96</v>
      </c>
      <c r="G58" s="745" t="e">
        <f t="shared" si="6"/>
        <v>#REF!</v>
      </c>
      <c r="H58" s="751"/>
      <c r="I58" s="752">
        <f t="shared" si="4"/>
        <v>0</v>
      </c>
      <c r="J58" s="211"/>
      <c r="K58" s="735"/>
    </row>
    <row r="59" spans="1:11" ht="15.75" thickBot="1">
      <c r="A59" s="748"/>
      <c r="B59" s="754"/>
      <c r="C59" s="751"/>
      <c r="D59" s="805"/>
      <c r="E59" s="750"/>
      <c r="F59" s="750"/>
      <c r="G59" s="751"/>
      <c r="H59" s="753"/>
      <c r="I59" s="752"/>
      <c r="K59" s="735"/>
    </row>
    <row r="60" spans="1:11" ht="15.75" thickBot="1">
      <c r="A60" s="755" t="s">
        <v>388</v>
      </c>
      <c r="B60" s="756"/>
      <c r="C60" s="757"/>
      <c r="D60" s="806" t="e">
        <f>SUM(D49:D59)</f>
        <v>#REF!</v>
      </c>
      <c r="E60" s="757"/>
      <c r="F60" s="758"/>
      <c r="G60" s="759"/>
      <c r="H60" s="760">
        <f>SUM(H49:H59)</f>
        <v>96669.11</v>
      </c>
      <c r="I60" s="880">
        <f>+I58</f>
        <v>0</v>
      </c>
      <c r="K60" s="735"/>
    </row>
    <row r="61" spans="1:11" ht="15">
      <c r="A61" s="761"/>
      <c r="B61" s="762"/>
      <c r="C61" s="763"/>
      <c r="D61" s="762"/>
      <c r="E61" s="763"/>
      <c r="F61" s="709"/>
      <c r="G61" s="764"/>
      <c r="H61" s="765"/>
      <c r="I61" s="765"/>
      <c r="K61" s="735"/>
    </row>
    <row r="62" spans="1:11" ht="15">
      <c r="A62" s="761"/>
      <c r="B62" s="762"/>
      <c r="C62" s="763"/>
      <c r="D62" s="762"/>
      <c r="E62" s="763"/>
      <c r="F62" s="709"/>
      <c r="G62" s="764"/>
      <c r="H62" s="765"/>
      <c r="I62" s="765"/>
      <c r="K62" s="735"/>
    </row>
    <row r="63" spans="1:11" ht="16.5" thickBot="1">
      <c r="A63" s="727" t="s">
        <v>500</v>
      </c>
      <c r="B63" s="727"/>
      <c r="C63" s="727"/>
      <c r="D63" s="706"/>
      <c r="E63" s="727" t="s">
        <v>379</v>
      </c>
      <c r="F63" s="722">
        <v>1116682.23</v>
      </c>
      <c r="G63" s="727"/>
      <c r="H63" s="729" t="s">
        <v>501</v>
      </c>
      <c r="K63" s="730">
        <f>ROUND(+F63*1.18,2)</f>
        <v>1317685.03</v>
      </c>
    </row>
    <row r="64" spans="1:11">
      <c r="A64" s="731" t="s">
        <v>458</v>
      </c>
      <c r="B64" s="732" t="s">
        <v>41</v>
      </c>
      <c r="C64" s="732" t="s">
        <v>503</v>
      </c>
      <c r="D64" s="732" t="s">
        <v>459</v>
      </c>
      <c r="E64" s="732" t="s">
        <v>381</v>
      </c>
      <c r="F64" s="733" t="s">
        <v>382</v>
      </c>
      <c r="G64" s="732" t="s">
        <v>383</v>
      </c>
      <c r="H64" s="734" t="s">
        <v>384</v>
      </c>
      <c r="I64" s="732" t="s">
        <v>385</v>
      </c>
      <c r="K64" s="735"/>
    </row>
    <row r="65" spans="1:11" ht="16.5" thickBot="1">
      <c r="A65" s="736"/>
      <c r="B65" s="737"/>
      <c r="C65" s="738"/>
      <c r="D65" s="738" t="s">
        <v>460</v>
      </c>
      <c r="E65" s="739"/>
      <c r="F65" s="740"/>
      <c r="G65" s="741"/>
      <c r="H65" s="742" t="s">
        <v>386</v>
      </c>
      <c r="I65" s="738" t="s">
        <v>387</v>
      </c>
      <c r="K65" s="735"/>
    </row>
    <row r="66" spans="1:11" ht="14.25">
      <c r="A66" s="743">
        <v>1</v>
      </c>
      <c r="B66" s="744" t="s">
        <v>485</v>
      </c>
      <c r="C66" s="848">
        <v>0.27500000000000002</v>
      </c>
      <c r="D66" s="745" t="e">
        <f t="shared" ref="D66:D75" si="7">+D49</f>
        <v>#REF!</v>
      </c>
      <c r="E66" s="750">
        <v>523.15</v>
      </c>
      <c r="F66" s="750">
        <v>523.70000000000005</v>
      </c>
      <c r="G66" s="745" t="e">
        <f>ROUND(+C66*D66*E66/F66,2)</f>
        <v>#REF!</v>
      </c>
      <c r="H66" s="849">
        <v>0</v>
      </c>
      <c r="I66" s="752">
        <f>+F63-H66</f>
        <v>1116682.23</v>
      </c>
      <c r="J66" s="211"/>
      <c r="K66" s="735" t="s">
        <v>433</v>
      </c>
    </row>
    <row r="67" spans="1:11" ht="14.25">
      <c r="A67" s="748">
        <v>2</v>
      </c>
      <c r="B67" s="749" t="s">
        <v>486</v>
      </c>
      <c r="C67" s="848">
        <v>0.27500000000000002</v>
      </c>
      <c r="D67" s="745" t="e">
        <f t="shared" si="7"/>
        <v>#REF!</v>
      </c>
      <c r="E67" s="750">
        <f>+E66</f>
        <v>523.15</v>
      </c>
      <c r="F67" s="750">
        <v>523.70000000000005</v>
      </c>
      <c r="G67" s="745" t="e">
        <f>ROUND(+C67*D67*E67/F67,2)</f>
        <v>#REF!</v>
      </c>
      <c r="H67" s="849">
        <v>89133.41</v>
      </c>
      <c r="I67" s="752">
        <f t="shared" ref="I67:I75" si="8">+I66-H67</f>
        <v>1027548.82</v>
      </c>
      <c r="J67" s="211"/>
      <c r="K67" s="735"/>
    </row>
    <row r="68" spans="1:11" ht="14.25">
      <c r="A68" s="748">
        <v>3</v>
      </c>
      <c r="B68" s="749" t="s">
        <v>487</v>
      </c>
      <c r="C68" s="848">
        <v>0.27500000000000002</v>
      </c>
      <c r="D68" s="745" t="e">
        <f t="shared" si="7"/>
        <v>#REF!</v>
      </c>
      <c r="E68" s="750">
        <f t="shared" ref="E68:E75" si="9">+E67</f>
        <v>523.15</v>
      </c>
      <c r="F68" s="750">
        <v>523.70000000000005</v>
      </c>
      <c r="G68" s="745" t="e">
        <f t="shared" ref="G68:G75" si="10">ROUND(+C68*D68*E68/F68,2)</f>
        <v>#REF!</v>
      </c>
      <c r="H68" s="849">
        <v>374170.57</v>
      </c>
      <c r="I68" s="752">
        <f t="shared" si="8"/>
        <v>653378.25</v>
      </c>
      <c r="J68" s="211"/>
      <c r="K68" s="735"/>
    </row>
    <row r="69" spans="1:11" ht="14.25">
      <c r="A69" s="748">
        <v>4</v>
      </c>
      <c r="B69" s="749" t="s">
        <v>488</v>
      </c>
      <c r="C69" s="848">
        <v>0.27500000000000002</v>
      </c>
      <c r="D69" s="745" t="e">
        <f t="shared" si="7"/>
        <v>#REF!</v>
      </c>
      <c r="E69" s="750">
        <f t="shared" si="9"/>
        <v>523.15</v>
      </c>
      <c r="F69" s="750">
        <v>523.70000000000005</v>
      </c>
      <c r="G69" s="745" t="e">
        <f t="shared" si="10"/>
        <v>#REF!</v>
      </c>
      <c r="H69" s="849">
        <v>0</v>
      </c>
      <c r="I69" s="752">
        <f t="shared" si="8"/>
        <v>653378.25</v>
      </c>
      <c r="J69" s="211"/>
      <c r="K69" s="735"/>
    </row>
    <row r="70" spans="1:11" ht="14.25">
      <c r="A70" s="748">
        <v>5</v>
      </c>
      <c r="B70" s="749" t="s">
        <v>489</v>
      </c>
      <c r="C70" s="848">
        <v>0.27500000000000002</v>
      </c>
      <c r="D70" s="745" t="e">
        <f t="shared" si="7"/>
        <v>#REF!</v>
      </c>
      <c r="E70" s="750">
        <f t="shared" si="9"/>
        <v>523.15</v>
      </c>
      <c r="F70" s="750">
        <v>523.70000000000005</v>
      </c>
      <c r="G70" s="745" t="e">
        <f t="shared" si="10"/>
        <v>#REF!</v>
      </c>
      <c r="H70" s="751" t="e">
        <f>+G70</f>
        <v>#REF!</v>
      </c>
      <c r="I70" s="752" t="e">
        <f t="shared" si="8"/>
        <v>#REF!</v>
      </c>
      <c r="J70" s="211"/>
      <c r="K70" s="735"/>
    </row>
    <row r="71" spans="1:11" ht="14.25">
      <c r="A71" s="748">
        <v>6</v>
      </c>
      <c r="B71" s="749" t="s">
        <v>490</v>
      </c>
      <c r="C71" s="848">
        <v>0.27500000000000002</v>
      </c>
      <c r="D71" s="745" t="e">
        <f t="shared" si="7"/>
        <v>#REF!</v>
      </c>
      <c r="E71" s="750">
        <f t="shared" si="9"/>
        <v>523.15</v>
      </c>
      <c r="F71" s="750">
        <v>523.70000000000005</v>
      </c>
      <c r="G71" s="745" t="e">
        <f t="shared" si="10"/>
        <v>#REF!</v>
      </c>
      <c r="H71" s="751" t="e">
        <f>+I70</f>
        <v>#REF!</v>
      </c>
      <c r="I71" s="752" t="e">
        <f t="shared" si="8"/>
        <v>#REF!</v>
      </c>
      <c r="J71" s="211"/>
      <c r="K71" s="735"/>
    </row>
    <row r="72" spans="1:11" ht="14.25">
      <c r="A72" s="748">
        <v>7</v>
      </c>
      <c r="B72" s="749" t="s">
        <v>491</v>
      </c>
      <c r="C72" s="848">
        <v>0.27500000000000002</v>
      </c>
      <c r="D72" s="745" t="e">
        <f t="shared" si="7"/>
        <v>#REF!</v>
      </c>
      <c r="E72" s="750">
        <f t="shared" si="9"/>
        <v>523.15</v>
      </c>
      <c r="F72" s="750">
        <v>523.70000000000005</v>
      </c>
      <c r="G72" s="745" t="e">
        <f t="shared" si="10"/>
        <v>#REF!</v>
      </c>
      <c r="H72" s="751">
        <v>0</v>
      </c>
      <c r="I72" s="752" t="e">
        <f t="shared" si="8"/>
        <v>#REF!</v>
      </c>
      <c r="J72" s="211"/>
      <c r="K72" s="735"/>
    </row>
    <row r="73" spans="1:11" ht="14.25">
      <c r="A73" s="748">
        <v>8</v>
      </c>
      <c r="B73" s="749" t="s">
        <v>492</v>
      </c>
      <c r="C73" s="848">
        <v>0.27500000000000002</v>
      </c>
      <c r="D73" s="745" t="e">
        <f t="shared" si="7"/>
        <v>#REF!</v>
      </c>
      <c r="E73" s="750">
        <f t="shared" si="9"/>
        <v>523.15</v>
      </c>
      <c r="F73" s="750">
        <v>523.70000000000005</v>
      </c>
      <c r="G73" s="745" t="e">
        <f t="shared" si="10"/>
        <v>#REF!</v>
      </c>
      <c r="H73" s="751"/>
      <c r="I73" s="752" t="e">
        <f t="shared" si="8"/>
        <v>#REF!</v>
      </c>
      <c r="J73" s="211"/>
      <c r="K73" s="735"/>
    </row>
    <row r="74" spans="1:11" ht="14.25">
      <c r="A74" s="748">
        <v>9</v>
      </c>
      <c r="B74" s="749" t="s">
        <v>493</v>
      </c>
      <c r="C74" s="848">
        <v>0.27500000000000002</v>
      </c>
      <c r="D74" s="745" t="e">
        <f t="shared" si="7"/>
        <v>#REF!</v>
      </c>
      <c r="E74" s="750">
        <f t="shared" si="9"/>
        <v>523.15</v>
      </c>
      <c r="F74" s="750">
        <v>523.70000000000005</v>
      </c>
      <c r="G74" s="745" t="e">
        <f t="shared" si="10"/>
        <v>#REF!</v>
      </c>
      <c r="H74" s="751"/>
      <c r="I74" s="752" t="e">
        <f t="shared" si="8"/>
        <v>#REF!</v>
      </c>
      <c r="J74" s="211"/>
      <c r="K74" s="735"/>
    </row>
    <row r="75" spans="1:11" ht="14.25">
      <c r="A75" s="748">
        <v>10</v>
      </c>
      <c r="B75" s="749" t="s">
        <v>494</v>
      </c>
      <c r="C75" s="848">
        <v>0.27500000000000002</v>
      </c>
      <c r="D75" s="745" t="e">
        <f t="shared" si="7"/>
        <v>#REF!</v>
      </c>
      <c r="E75" s="750">
        <f t="shared" si="9"/>
        <v>523.15</v>
      </c>
      <c r="F75" s="750">
        <v>523.70000000000005</v>
      </c>
      <c r="G75" s="745" t="e">
        <f t="shared" si="10"/>
        <v>#REF!</v>
      </c>
      <c r="H75" s="751"/>
      <c r="I75" s="752" t="e">
        <f t="shared" si="8"/>
        <v>#REF!</v>
      </c>
      <c r="J75" s="211"/>
      <c r="K75" s="735"/>
    </row>
    <row r="76" spans="1:11" ht="15.75" thickBot="1">
      <c r="A76" s="748"/>
      <c r="B76" s="754"/>
      <c r="C76" s="751"/>
      <c r="D76" s="805"/>
      <c r="E76" s="750"/>
      <c r="F76" s="750"/>
      <c r="G76" s="751"/>
      <c r="H76" s="753"/>
      <c r="I76" s="752"/>
      <c r="K76" s="735"/>
    </row>
    <row r="77" spans="1:11" ht="15.75" thickBot="1">
      <c r="A77" s="755" t="s">
        <v>388</v>
      </c>
      <c r="B77" s="756"/>
      <c r="C77" s="757"/>
      <c r="D77" s="806" t="e">
        <f>SUM(D66:D76)</f>
        <v>#REF!</v>
      </c>
      <c r="E77" s="757"/>
      <c r="F77" s="758"/>
      <c r="G77" s="759"/>
      <c r="H77" s="760" t="e">
        <f>SUM(H66:H76)</f>
        <v>#REF!</v>
      </c>
      <c r="I77" s="880" t="e">
        <f>+I75</f>
        <v>#REF!</v>
      </c>
      <c r="K77" s="735"/>
    </row>
    <row r="78" spans="1:11" ht="15">
      <c r="A78" s="761"/>
      <c r="B78" s="762"/>
      <c r="C78" s="763"/>
      <c r="D78" s="762"/>
      <c r="E78" s="763"/>
      <c r="F78" s="709"/>
      <c r="G78" s="764"/>
      <c r="H78" s="765"/>
      <c r="I78" s="765"/>
      <c r="K78" s="735"/>
    </row>
    <row r="79" spans="1:11" ht="15">
      <c r="A79" s="761"/>
      <c r="B79" s="762"/>
      <c r="C79" s="763"/>
      <c r="D79" s="762"/>
      <c r="E79" s="763"/>
      <c r="F79" s="709"/>
      <c r="G79" s="764"/>
      <c r="H79" s="765"/>
      <c r="I79" s="765"/>
      <c r="K79" s="735"/>
    </row>
    <row r="80" spans="1:11" ht="15">
      <c r="A80" s="761"/>
      <c r="B80" s="762"/>
      <c r="C80" s="763"/>
      <c r="D80" s="762"/>
      <c r="E80" s="763"/>
      <c r="F80" s="709"/>
      <c r="G80" s="764"/>
      <c r="H80" s="765"/>
      <c r="I80" s="765"/>
      <c r="K80" s="735"/>
    </row>
    <row r="81" spans="1:12" ht="15">
      <c r="A81" s="761"/>
      <c r="B81" s="762"/>
      <c r="C81" s="763"/>
      <c r="D81" s="762"/>
      <c r="E81" s="763"/>
      <c r="F81" s="709"/>
      <c r="G81" s="764"/>
      <c r="H81" s="765"/>
      <c r="I81" s="765"/>
      <c r="K81" s="735"/>
    </row>
    <row r="82" spans="1:12" ht="15">
      <c r="A82" s="761"/>
      <c r="B82" s="762"/>
      <c r="C82" s="763"/>
      <c r="D82" s="762"/>
      <c r="E82" s="763"/>
      <c r="F82" s="709"/>
      <c r="G82" s="764"/>
      <c r="H82" s="765"/>
      <c r="I82" s="765"/>
      <c r="K82" s="735"/>
    </row>
    <row r="83" spans="1:12" ht="15">
      <c r="A83" s="761"/>
      <c r="B83" s="762"/>
      <c r="C83" s="763"/>
      <c r="D83" s="762"/>
      <c r="E83" s="763"/>
      <c r="F83" s="709"/>
      <c r="G83" s="764"/>
      <c r="H83" s="765"/>
      <c r="I83" s="765"/>
      <c r="K83" s="735"/>
    </row>
    <row r="84" spans="1:12" ht="16.5" thickBot="1">
      <c r="A84" s="727" t="s">
        <v>432</v>
      </c>
      <c r="B84" s="727"/>
      <c r="C84" s="727"/>
      <c r="D84" s="706"/>
      <c r="E84" s="727" t="s">
        <v>379</v>
      </c>
      <c r="F84" s="722">
        <v>2058404.34</v>
      </c>
      <c r="G84" s="727"/>
      <c r="H84" s="729" t="s">
        <v>502</v>
      </c>
      <c r="K84" s="730">
        <f>ROUND(+F84*1.18,2)</f>
        <v>2428917.12</v>
      </c>
    </row>
    <row r="85" spans="1:12">
      <c r="A85" s="731" t="s">
        <v>458</v>
      </c>
      <c r="B85" s="732" t="s">
        <v>41</v>
      </c>
      <c r="C85" s="732" t="s">
        <v>503</v>
      </c>
      <c r="D85" s="732" t="s">
        <v>459</v>
      </c>
      <c r="E85" s="732" t="s">
        <v>381</v>
      </c>
      <c r="F85" s="733" t="s">
        <v>382</v>
      </c>
      <c r="G85" s="732" t="s">
        <v>383</v>
      </c>
      <c r="H85" s="734" t="s">
        <v>384</v>
      </c>
      <c r="I85" s="732" t="s">
        <v>385</v>
      </c>
      <c r="K85" s="735"/>
    </row>
    <row r="86" spans="1:12" ht="16.5" thickBot="1">
      <c r="A86" s="736"/>
      <c r="B86" s="737"/>
      <c r="C86" s="738"/>
      <c r="D86" s="738" t="s">
        <v>460</v>
      </c>
      <c r="E86" s="739"/>
      <c r="F86" s="740"/>
      <c r="G86" s="741"/>
      <c r="H86" s="742" t="s">
        <v>386</v>
      </c>
      <c r="I86" s="738" t="s">
        <v>387</v>
      </c>
      <c r="K86" s="735"/>
    </row>
    <row r="87" spans="1:12" ht="14.25">
      <c r="A87" s="743">
        <v>1</v>
      </c>
      <c r="B87" s="744" t="s">
        <v>485</v>
      </c>
      <c r="C87" s="848">
        <v>0.46400000000000002</v>
      </c>
      <c r="D87" s="745" t="e">
        <f>+D66</f>
        <v>#REF!</v>
      </c>
      <c r="E87" s="750">
        <v>283.41000000000003</v>
      </c>
      <c r="F87" s="750">
        <v>248.68</v>
      </c>
      <c r="G87" s="745" t="e">
        <f>ROUND(+C87*D87*E87/F87,2)</f>
        <v>#REF!</v>
      </c>
      <c r="H87" s="849">
        <v>0</v>
      </c>
      <c r="I87" s="752">
        <f>+F84-H87</f>
        <v>2058404.34</v>
      </c>
      <c r="J87" s="211"/>
      <c r="K87" s="735" t="s">
        <v>433</v>
      </c>
      <c r="L87" s="697" t="e">
        <f>+G87*E87/F87</f>
        <v>#REF!</v>
      </c>
    </row>
    <row r="88" spans="1:12" ht="14.25">
      <c r="A88" s="748">
        <v>2</v>
      </c>
      <c r="B88" s="749" t="s">
        <v>486</v>
      </c>
      <c r="C88" s="848">
        <v>0.46400000000000002</v>
      </c>
      <c r="D88" s="745" t="e">
        <f>+D67</f>
        <v>#REF!</v>
      </c>
      <c r="E88" s="750">
        <f>+E87</f>
        <v>283.41000000000003</v>
      </c>
      <c r="F88" s="750">
        <v>248.68</v>
      </c>
      <c r="G88" s="745" t="e">
        <f>ROUND(+C88*D88*E88/F88,2)</f>
        <v>#REF!</v>
      </c>
      <c r="H88" s="849">
        <v>164401.63</v>
      </c>
      <c r="I88" s="752">
        <f t="shared" ref="I88:I96" si="11">+I87-H88</f>
        <v>1894002.71</v>
      </c>
      <c r="J88" s="211"/>
      <c r="K88" s="735"/>
    </row>
    <row r="89" spans="1:12" ht="14.25">
      <c r="A89" s="748">
        <v>3</v>
      </c>
      <c r="B89" s="749" t="s">
        <v>487</v>
      </c>
      <c r="C89" s="848">
        <v>0.46400000000000002</v>
      </c>
      <c r="D89" s="745" t="e">
        <f t="shared" ref="D89:D96" si="12">+D68</f>
        <v>#REF!</v>
      </c>
      <c r="E89" s="750">
        <f t="shared" ref="E89:E96" si="13">+E88</f>
        <v>283.41000000000003</v>
      </c>
      <c r="F89" s="750">
        <v>248.68</v>
      </c>
      <c r="G89" s="745" t="e">
        <f t="shared" ref="G89:G96" si="14">ROUND(+C89*D89*E89/F89,2)</f>
        <v>#REF!</v>
      </c>
      <c r="H89" s="849">
        <v>687429.65</v>
      </c>
      <c r="I89" s="752">
        <f t="shared" si="11"/>
        <v>1206573.06</v>
      </c>
      <c r="J89" s="211"/>
      <c r="K89" s="735"/>
    </row>
    <row r="90" spans="1:12" ht="14.25">
      <c r="A90" s="748">
        <v>4</v>
      </c>
      <c r="B90" s="749" t="s">
        <v>488</v>
      </c>
      <c r="C90" s="848">
        <v>0.46400000000000002</v>
      </c>
      <c r="D90" s="745" t="e">
        <f t="shared" si="12"/>
        <v>#REF!</v>
      </c>
      <c r="E90" s="750">
        <f t="shared" si="13"/>
        <v>283.41000000000003</v>
      </c>
      <c r="F90" s="750">
        <v>248.68</v>
      </c>
      <c r="G90" s="745" t="e">
        <f t="shared" si="14"/>
        <v>#REF!</v>
      </c>
      <c r="H90" s="849">
        <v>600000</v>
      </c>
      <c r="I90" s="752">
        <f t="shared" si="11"/>
        <v>606573.06000000006</v>
      </c>
      <c r="J90" s="211"/>
      <c r="K90" s="735"/>
    </row>
    <row r="91" spans="1:12" ht="14.25">
      <c r="A91" s="748">
        <v>5</v>
      </c>
      <c r="B91" s="749" t="s">
        <v>489</v>
      </c>
      <c r="C91" s="848">
        <v>0.46400000000000002</v>
      </c>
      <c r="D91" s="745" t="e">
        <f t="shared" si="12"/>
        <v>#REF!</v>
      </c>
      <c r="E91" s="750">
        <f t="shared" si="13"/>
        <v>283.41000000000003</v>
      </c>
      <c r="F91" s="750">
        <v>248.68</v>
      </c>
      <c r="G91" s="745" t="e">
        <f t="shared" si="14"/>
        <v>#REF!</v>
      </c>
      <c r="H91" s="751">
        <v>0</v>
      </c>
      <c r="I91" s="752">
        <f t="shared" si="11"/>
        <v>606573.06000000006</v>
      </c>
      <c r="J91" s="211"/>
      <c r="K91" s="735"/>
    </row>
    <row r="92" spans="1:12" ht="14.25">
      <c r="A92" s="748">
        <v>6</v>
      </c>
      <c r="B92" s="749" t="s">
        <v>490</v>
      </c>
      <c r="C92" s="848">
        <v>0.46400000000000002</v>
      </c>
      <c r="D92" s="745" t="e">
        <f t="shared" si="12"/>
        <v>#REF!</v>
      </c>
      <c r="E92" s="750">
        <f t="shared" si="13"/>
        <v>283.41000000000003</v>
      </c>
      <c r="F92" s="750">
        <v>248.68</v>
      </c>
      <c r="G92" s="745" t="e">
        <f t="shared" si="14"/>
        <v>#REF!</v>
      </c>
      <c r="H92" s="751">
        <f>+I91</f>
        <v>606573.06000000006</v>
      </c>
      <c r="I92" s="752">
        <f t="shared" si="11"/>
        <v>0</v>
      </c>
      <c r="J92" s="211"/>
      <c r="K92" s="735"/>
    </row>
    <row r="93" spans="1:12" ht="14.25">
      <c r="A93" s="748">
        <v>7</v>
      </c>
      <c r="B93" s="749" t="s">
        <v>491</v>
      </c>
      <c r="C93" s="848">
        <v>0.46400000000000002</v>
      </c>
      <c r="D93" s="745" t="e">
        <f t="shared" si="12"/>
        <v>#REF!</v>
      </c>
      <c r="E93" s="750">
        <f t="shared" si="13"/>
        <v>283.41000000000003</v>
      </c>
      <c r="F93" s="750">
        <v>248.68</v>
      </c>
      <c r="G93" s="745" t="e">
        <f t="shared" si="14"/>
        <v>#REF!</v>
      </c>
      <c r="H93" s="751">
        <v>0</v>
      </c>
      <c r="I93" s="752">
        <f t="shared" si="11"/>
        <v>0</v>
      </c>
      <c r="J93" s="211"/>
      <c r="K93" s="735"/>
    </row>
    <row r="94" spans="1:12" ht="14.25">
      <c r="A94" s="748">
        <v>8</v>
      </c>
      <c r="B94" s="749" t="s">
        <v>492</v>
      </c>
      <c r="C94" s="848">
        <v>0.46400000000000002</v>
      </c>
      <c r="D94" s="745" t="e">
        <f t="shared" si="12"/>
        <v>#REF!</v>
      </c>
      <c r="E94" s="750">
        <f t="shared" si="13"/>
        <v>283.41000000000003</v>
      </c>
      <c r="F94" s="750">
        <v>248.68</v>
      </c>
      <c r="G94" s="745" t="e">
        <f t="shared" si="14"/>
        <v>#REF!</v>
      </c>
      <c r="H94" s="751"/>
      <c r="I94" s="752">
        <f t="shared" si="11"/>
        <v>0</v>
      </c>
      <c r="J94" s="211"/>
      <c r="K94" s="735"/>
    </row>
    <row r="95" spans="1:12" ht="14.25">
      <c r="A95" s="748">
        <v>9</v>
      </c>
      <c r="B95" s="749" t="s">
        <v>493</v>
      </c>
      <c r="C95" s="848">
        <v>0.46400000000000002</v>
      </c>
      <c r="D95" s="745" t="e">
        <f t="shared" si="12"/>
        <v>#REF!</v>
      </c>
      <c r="E95" s="750">
        <f t="shared" si="13"/>
        <v>283.41000000000003</v>
      </c>
      <c r="F95" s="750">
        <v>248.68</v>
      </c>
      <c r="G95" s="745" t="e">
        <f t="shared" si="14"/>
        <v>#REF!</v>
      </c>
      <c r="H95" s="751"/>
      <c r="I95" s="752">
        <f t="shared" si="11"/>
        <v>0</v>
      </c>
      <c r="J95" s="211"/>
      <c r="K95" s="735"/>
    </row>
    <row r="96" spans="1:12" ht="14.25">
      <c r="A96" s="748">
        <v>10</v>
      </c>
      <c r="B96" s="749" t="s">
        <v>494</v>
      </c>
      <c r="C96" s="848">
        <v>0.46400000000000002</v>
      </c>
      <c r="D96" s="745" t="e">
        <f t="shared" si="12"/>
        <v>#REF!</v>
      </c>
      <c r="E96" s="750">
        <f t="shared" si="13"/>
        <v>283.41000000000003</v>
      </c>
      <c r="F96" s="750">
        <v>248.68</v>
      </c>
      <c r="G96" s="745" t="e">
        <f t="shared" si="14"/>
        <v>#REF!</v>
      </c>
      <c r="H96" s="751"/>
      <c r="I96" s="752">
        <f t="shared" si="11"/>
        <v>0</v>
      </c>
      <c r="J96" s="211"/>
      <c r="K96" s="735"/>
    </row>
    <row r="97" spans="1:11" ht="15.75" thickBot="1">
      <c r="A97" s="748"/>
      <c r="B97" s="754"/>
      <c r="C97" s="751"/>
      <c r="D97" s="805"/>
      <c r="E97" s="750"/>
      <c r="F97" s="750"/>
      <c r="G97" s="751"/>
      <c r="H97" s="753"/>
      <c r="I97" s="752"/>
      <c r="K97" s="735"/>
    </row>
    <row r="98" spans="1:11" ht="15.75" thickBot="1">
      <c r="A98" s="755" t="s">
        <v>388</v>
      </c>
      <c r="B98" s="756"/>
      <c r="C98" s="757"/>
      <c r="D98" s="806" t="e">
        <f>SUM(D87:D97)</f>
        <v>#REF!</v>
      </c>
      <c r="E98" s="757"/>
      <c r="F98" s="758"/>
      <c r="G98" s="759"/>
      <c r="H98" s="760">
        <f>SUM(H87:H97)</f>
        <v>2058404.34</v>
      </c>
      <c r="I98" s="880">
        <f>+I96</f>
        <v>0</v>
      </c>
      <c r="K98" s="735"/>
    </row>
    <row r="99" spans="1:11" ht="15">
      <c r="A99" s="767"/>
      <c r="B99" s="768"/>
      <c r="C99" s="769"/>
      <c r="D99" s="768"/>
      <c r="E99" s="769"/>
      <c r="F99" s="770"/>
      <c r="G99" s="771"/>
      <c r="H99" s="772"/>
      <c r="I99" s="772"/>
      <c r="K99" s="735"/>
    </row>
    <row r="100" spans="1:11" ht="15">
      <c r="A100" s="761"/>
      <c r="B100" s="762"/>
      <c r="C100" s="763"/>
      <c r="D100" s="762"/>
      <c r="E100" s="763"/>
      <c r="F100" s="709"/>
      <c r="G100" s="764"/>
      <c r="H100" s="765"/>
      <c r="I100" s="765"/>
      <c r="K100" s="735"/>
    </row>
    <row r="101" spans="1:11" ht="15">
      <c r="A101" s="761"/>
      <c r="B101" s="762"/>
      <c r="C101" s="763"/>
      <c r="D101" s="762"/>
      <c r="E101" s="763"/>
      <c r="F101" s="709"/>
      <c r="G101" s="764"/>
      <c r="H101" s="765"/>
      <c r="I101" s="765"/>
      <c r="K101" s="735"/>
    </row>
    <row r="102" spans="1:11" ht="15">
      <c r="A102" s="761"/>
      <c r="B102" s="762"/>
      <c r="C102" s="763"/>
      <c r="D102" s="762"/>
      <c r="E102" s="763"/>
      <c r="F102" s="709"/>
      <c r="G102" s="764"/>
      <c r="H102" s="765"/>
      <c r="I102" s="765"/>
      <c r="K102" s="735"/>
    </row>
    <row r="103" spans="1:11" ht="15">
      <c r="A103" s="761"/>
      <c r="B103" s="762"/>
      <c r="C103" s="763"/>
      <c r="D103" s="762"/>
      <c r="E103" s="763"/>
      <c r="F103" s="709"/>
      <c r="G103" s="764"/>
      <c r="H103" s="765"/>
      <c r="I103" s="765"/>
      <c r="K103" s="735"/>
    </row>
    <row r="104" spans="1:11" ht="15">
      <c r="A104" s="761"/>
      <c r="B104" s="762"/>
      <c r="C104" s="763"/>
      <c r="D104" s="762"/>
      <c r="E104" s="763"/>
      <c r="F104" s="709"/>
      <c r="G104" s="764"/>
      <c r="H104" s="765"/>
      <c r="I104" s="765"/>
      <c r="K104" s="735"/>
    </row>
    <row r="105" spans="1:11" ht="13.5" thickBot="1">
      <c r="A105" s="773"/>
      <c r="B105" s="774"/>
      <c r="C105" s="773"/>
      <c r="D105" s="773"/>
      <c r="E105" s="773"/>
      <c r="F105" s="773"/>
      <c r="G105" s="773"/>
      <c r="H105" s="773"/>
      <c r="I105" s="773"/>
      <c r="K105" s="775">
        <f>SUM(K28:K104)</f>
        <v>4000000</v>
      </c>
    </row>
    <row r="106" spans="1:11" ht="23.25" customHeight="1" thickBot="1">
      <c r="A106" s="706"/>
      <c r="B106" s="776" t="s">
        <v>529</v>
      </c>
      <c r="C106" s="777"/>
      <c r="D106" s="778"/>
      <c r="E106" s="777"/>
      <c r="F106" s="779"/>
      <c r="G106" s="780" t="s">
        <v>389</v>
      </c>
      <c r="H106" s="781">
        <f>+H37+H55+H72+H93</f>
        <v>0</v>
      </c>
      <c r="I106" s="782"/>
    </row>
    <row r="107" spans="1:11" ht="15.75" thickBot="1">
      <c r="A107" s="706"/>
      <c r="B107" s="715"/>
      <c r="C107" s="715"/>
      <c r="D107" s="783"/>
      <c r="E107" s="715"/>
      <c r="F107" s="706"/>
      <c r="G107" s="706"/>
      <c r="H107" s="706"/>
    </row>
    <row r="108" spans="1:11" ht="18.75" thickBot="1">
      <c r="A108" s="706"/>
      <c r="B108" s="971" t="s">
        <v>390</v>
      </c>
      <c r="C108" s="972"/>
      <c r="D108" s="972"/>
      <c r="E108" s="972"/>
      <c r="F108" s="972"/>
      <c r="G108" s="973"/>
      <c r="H108" s="706"/>
    </row>
    <row r="109" spans="1:11" ht="15.75">
      <c r="A109" s="706"/>
      <c r="B109" s="784"/>
      <c r="C109" s="785"/>
      <c r="D109" s="786"/>
      <c r="E109" s="785"/>
      <c r="F109" s="787"/>
      <c r="G109" s="788"/>
      <c r="H109" s="706"/>
    </row>
    <row r="110" spans="1:11">
      <c r="A110" s="706"/>
      <c r="B110" s="789" t="s">
        <v>372</v>
      </c>
      <c r="C110" s="787"/>
      <c r="D110" s="462">
        <f>+D13</f>
        <v>4000000</v>
      </c>
      <c r="E110" s="708" t="s">
        <v>504</v>
      </c>
      <c r="F110" s="787"/>
      <c r="G110" s="790"/>
      <c r="H110" s="706"/>
    </row>
    <row r="111" spans="1:11">
      <c r="A111" s="706"/>
      <c r="B111" s="791"/>
      <c r="C111" s="787"/>
      <c r="D111" s="462">
        <f>+D110/1.18</f>
        <v>3389830.5084745763</v>
      </c>
      <c r="E111" s="708" t="s">
        <v>373</v>
      </c>
      <c r="F111" s="787"/>
      <c r="G111" s="788"/>
      <c r="H111" s="706"/>
    </row>
    <row r="112" spans="1:11" ht="13.5" thickBot="1">
      <c r="A112" s="706"/>
      <c r="B112" s="791"/>
      <c r="C112" s="787"/>
      <c r="D112" s="792"/>
      <c r="E112" s="793"/>
      <c r="F112" s="787"/>
      <c r="G112" s="788"/>
      <c r="H112" s="706"/>
    </row>
    <row r="113" spans="1:9" ht="7.5" customHeight="1" thickBot="1">
      <c r="A113" s="709"/>
      <c r="B113" s="974"/>
      <c r="C113" s="975"/>
      <c r="D113" s="975"/>
      <c r="E113" s="975"/>
      <c r="F113" s="975"/>
      <c r="G113" s="976"/>
      <c r="H113" s="794"/>
    </row>
    <row r="114" spans="1:9" ht="15.75">
      <c r="A114" s="709"/>
      <c r="B114" s="791" t="s">
        <v>505</v>
      </c>
      <c r="C114" s="785"/>
      <c r="D114" s="786"/>
      <c r="E114" s="785"/>
      <c r="F114" s="787"/>
      <c r="G114" s="533">
        <f t="shared" ref="G114:G123" si="15">+H31+H49+H66+H87</f>
        <v>0</v>
      </c>
      <c r="H114" s="795" t="s">
        <v>13</v>
      </c>
      <c r="I114" s="782"/>
    </row>
    <row r="115" spans="1:9" ht="15.75">
      <c r="A115" s="709"/>
      <c r="B115" s="791" t="s">
        <v>506</v>
      </c>
      <c r="C115" s="785"/>
      <c r="D115" s="786"/>
      <c r="E115" s="785"/>
      <c r="F115" s="787"/>
      <c r="G115" s="534">
        <f t="shared" si="15"/>
        <v>271361.71999999997</v>
      </c>
      <c r="H115" s="795" t="s">
        <v>13</v>
      </c>
    </row>
    <row r="116" spans="1:9" ht="15.75">
      <c r="A116" s="709"/>
      <c r="B116" s="791" t="s">
        <v>507</v>
      </c>
      <c r="C116" s="785"/>
      <c r="D116" s="786"/>
      <c r="E116" s="785"/>
      <c r="F116" s="787"/>
      <c r="G116" s="534">
        <f t="shared" si="15"/>
        <v>1131213.3500000001</v>
      </c>
      <c r="H116" s="795" t="s">
        <v>13</v>
      </c>
    </row>
    <row r="117" spans="1:9" ht="15.75">
      <c r="A117" s="709"/>
      <c r="B117" s="791" t="s">
        <v>508</v>
      </c>
      <c r="C117" s="785"/>
      <c r="D117" s="786"/>
      <c r="E117" s="785"/>
      <c r="F117" s="787"/>
      <c r="G117" s="534">
        <f t="shared" si="15"/>
        <v>600000</v>
      </c>
      <c r="H117" s="795" t="s">
        <v>13</v>
      </c>
    </row>
    <row r="118" spans="1:9" ht="15.75">
      <c r="A118" s="709"/>
      <c r="B118" s="791" t="s">
        <v>509</v>
      </c>
      <c r="C118" s="785"/>
      <c r="D118" s="786"/>
      <c r="E118" s="785"/>
      <c r="F118" s="787"/>
      <c r="G118" s="534" t="e">
        <f t="shared" si="15"/>
        <v>#REF!</v>
      </c>
      <c r="H118" s="795" t="s">
        <v>13</v>
      </c>
    </row>
    <row r="119" spans="1:9" ht="15.75">
      <c r="A119" s="709"/>
      <c r="B119" s="791" t="s">
        <v>510</v>
      </c>
      <c r="C119" s="785"/>
      <c r="D119" s="786"/>
      <c r="E119" s="785"/>
      <c r="F119" s="787"/>
      <c r="G119" s="534" t="e">
        <f t="shared" si="15"/>
        <v>#REF!</v>
      </c>
      <c r="H119" s="795" t="s">
        <v>13</v>
      </c>
    </row>
    <row r="120" spans="1:9" ht="15.75">
      <c r="A120" s="709"/>
      <c r="B120" s="791" t="s">
        <v>511</v>
      </c>
      <c r="C120" s="785"/>
      <c r="D120" s="786"/>
      <c r="E120" s="785"/>
      <c r="F120" s="787"/>
      <c r="G120" s="534">
        <f t="shared" si="15"/>
        <v>0</v>
      </c>
      <c r="H120" s="795" t="s">
        <v>13</v>
      </c>
    </row>
    <row r="121" spans="1:9" ht="15.75">
      <c r="A121" s="709"/>
      <c r="B121" s="791" t="s">
        <v>512</v>
      </c>
      <c r="C121" s="785"/>
      <c r="D121" s="786"/>
      <c r="E121" s="785"/>
      <c r="F121" s="787"/>
      <c r="G121" s="534" t="e">
        <f t="shared" si="15"/>
        <v>#REF!</v>
      </c>
      <c r="H121" s="795" t="s">
        <v>13</v>
      </c>
    </row>
    <row r="122" spans="1:9" ht="15.75">
      <c r="A122" s="709"/>
      <c r="B122" s="791" t="s">
        <v>513</v>
      </c>
      <c r="C122" s="785"/>
      <c r="D122" s="786"/>
      <c r="E122" s="785"/>
      <c r="F122" s="787"/>
      <c r="G122" s="534" t="e">
        <f t="shared" si="15"/>
        <v>#REF!</v>
      </c>
      <c r="H122" s="795" t="s">
        <v>13</v>
      </c>
    </row>
    <row r="123" spans="1:9" ht="15.75">
      <c r="A123" s="709"/>
      <c r="B123" s="791" t="s">
        <v>514</v>
      </c>
      <c r="C123" s="785"/>
      <c r="D123" s="786"/>
      <c r="E123" s="785"/>
      <c r="F123" s="787"/>
      <c r="G123" s="534" t="e">
        <f t="shared" si="15"/>
        <v>#REF!</v>
      </c>
      <c r="H123" s="795" t="s">
        <v>13</v>
      </c>
    </row>
    <row r="124" spans="1:9" ht="13.5" thickBot="1">
      <c r="A124" s="709"/>
      <c r="B124" s="796"/>
      <c r="C124" s="797"/>
      <c r="D124" s="797"/>
      <c r="E124" s="797"/>
      <c r="F124" s="797"/>
      <c r="G124" s="798"/>
      <c r="H124" s="799"/>
    </row>
    <row r="125" spans="1:9" ht="16.5" thickBot="1">
      <c r="A125" s="709"/>
      <c r="B125" s="800" t="s">
        <v>391</v>
      </c>
      <c r="C125" s="801"/>
      <c r="D125" s="802"/>
      <c r="E125" s="803"/>
      <c r="F125" s="804"/>
      <c r="G125" s="532" t="e">
        <f>SUM(G114:G124)</f>
        <v>#REF!</v>
      </c>
      <c r="H125" s="795" t="s">
        <v>13</v>
      </c>
    </row>
    <row r="126" spans="1:9" ht="16.5" thickBot="1">
      <c r="A126" s="706"/>
      <c r="B126" s="800" t="s">
        <v>392</v>
      </c>
      <c r="C126" s="803"/>
      <c r="D126" s="802"/>
      <c r="E126" s="803"/>
      <c r="F126" s="804"/>
      <c r="G126" s="532" t="e">
        <f>+D111-G125</f>
        <v>#REF!</v>
      </c>
      <c r="H126" s="795" t="s">
        <v>13</v>
      </c>
    </row>
  </sheetData>
  <mergeCells count="4">
    <mergeCell ref="A23:I23"/>
    <mergeCell ref="B108:G108"/>
    <mergeCell ref="B113:G113"/>
    <mergeCell ref="D1:H1"/>
  </mergeCells>
  <printOptions horizontalCentered="1"/>
  <pageMargins left="0.39370078740157483" right="0" top="0.39370078740157483" bottom="0.39370078740157483" header="0" footer="0"/>
  <pageSetup paperSize="9" scale="6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9"/>
  <sheetViews>
    <sheetView showGridLines="0" view="pageBreakPreview" topLeftCell="A124" zoomScale="90" zoomScaleNormal="75" zoomScaleSheetLayoutView="90" workbookViewId="0">
      <selection activeCell="H123" sqref="H123"/>
    </sheetView>
  </sheetViews>
  <sheetFormatPr baseColWidth="10" defaultRowHeight="12.75"/>
  <cols>
    <col min="1" max="1" width="3.28515625" style="6" customWidth="1"/>
    <col min="2" max="2" width="9.5703125" style="6" customWidth="1"/>
    <col min="3" max="3" width="12.42578125" style="6" customWidth="1"/>
    <col min="4" max="4" width="17.140625" style="6" customWidth="1"/>
    <col min="5" max="5" width="17.7109375" style="6" customWidth="1"/>
    <col min="6" max="6" width="9" style="6" customWidth="1"/>
    <col min="7" max="7" width="9.140625" style="6" customWidth="1"/>
    <col min="8" max="8" width="12.140625" style="6" customWidth="1"/>
    <col min="9" max="9" width="13.85546875" style="6" customWidth="1"/>
    <col min="10" max="10" width="18" style="6" customWidth="1"/>
    <col min="11" max="11" width="12" style="6" customWidth="1"/>
    <col min="12" max="12" width="11.5703125" style="6" customWidth="1"/>
    <col min="13" max="13" width="15.140625" style="6" customWidth="1"/>
    <col min="14" max="14" width="11.42578125" style="6"/>
    <col min="15" max="15" width="17.140625" style="6" customWidth="1"/>
    <col min="16" max="16384" width="11.42578125" style="6"/>
  </cols>
  <sheetData>
    <row r="1" spans="1:13" s="819" customFormat="1" ht="36.75" customHeight="1">
      <c r="A1" s="855" t="s">
        <v>42</v>
      </c>
      <c r="B1" s="856"/>
      <c r="C1" s="856" t="s">
        <v>39</v>
      </c>
      <c r="D1" s="978" t="e">
        <f>+#REF!</f>
        <v>#REF!</v>
      </c>
      <c r="E1" s="978"/>
      <c r="F1" s="978"/>
      <c r="G1" s="978"/>
      <c r="H1" s="978"/>
      <c r="I1" s="978"/>
      <c r="J1" s="978"/>
      <c r="K1" s="978"/>
      <c r="L1" s="978"/>
    </row>
    <row r="2" spans="1:13" s="819" customFormat="1" ht="11.25">
      <c r="A2" s="857" t="s">
        <v>32</v>
      </c>
      <c r="B2" s="857"/>
      <c r="C2" s="857" t="s">
        <v>39</v>
      </c>
      <c r="D2" s="857" t="e">
        <f>+#REF!</f>
        <v>#REF!</v>
      </c>
      <c r="E2" s="857"/>
      <c r="F2" s="858"/>
      <c r="G2" s="858"/>
      <c r="H2" s="859"/>
      <c r="I2" s="818"/>
      <c r="J2" s="818"/>
    </row>
    <row r="3" spans="1:13" s="819" customFormat="1" ht="11.25">
      <c r="A3" s="857" t="s">
        <v>40</v>
      </c>
      <c r="B3" s="857"/>
      <c r="C3" s="857" t="s">
        <v>39</v>
      </c>
      <c r="D3" s="857" t="e">
        <f>+#REF!</f>
        <v>#REF!</v>
      </c>
      <c r="E3" s="857"/>
      <c r="F3" s="858"/>
      <c r="G3" s="858"/>
      <c r="H3" s="859"/>
      <c r="I3" s="818"/>
      <c r="J3" s="818"/>
    </row>
    <row r="4" spans="1:13" s="819" customFormat="1" ht="11.25">
      <c r="A4" s="857" t="s">
        <v>33</v>
      </c>
      <c r="B4" s="857"/>
      <c r="C4" s="857" t="s">
        <v>39</v>
      </c>
      <c r="D4" s="857" t="e">
        <f>+#REF!</f>
        <v>#REF!</v>
      </c>
      <c r="E4" s="857"/>
      <c r="F4" s="858"/>
      <c r="G4" s="858"/>
      <c r="H4" s="859"/>
      <c r="I4" s="818"/>
      <c r="J4" s="818"/>
    </row>
    <row r="5" spans="1:13" s="819" customFormat="1" ht="11.25">
      <c r="A5" s="857" t="s">
        <v>23</v>
      </c>
      <c r="B5" s="857"/>
      <c r="C5" s="857" t="s">
        <v>39</v>
      </c>
      <c r="D5" s="857" t="e">
        <f>+#REF!</f>
        <v>#REF!</v>
      </c>
      <c r="E5" s="857"/>
      <c r="F5" s="858"/>
      <c r="G5" s="858"/>
      <c r="H5" s="859"/>
      <c r="I5" s="818"/>
      <c r="J5" s="818"/>
    </row>
    <row r="6" spans="1:13" s="819" customFormat="1" ht="11.25">
      <c r="A6" s="857" t="s">
        <v>41</v>
      </c>
      <c r="B6" s="857"/>
      <c r="C6" s="857" t="s">
        <v>39</v>
      </c>
      <c r="D6" s="860" t="e">
        <f>+#REF!</f>
        <v>#REF!</v>
      </c>
      <c r="E6" s="857"/>
      <c r="F6" s="858"/>
      <c r="G6" s="858"/>
      <c r="H6" s="859"/>
      <c r="I6" s="818"/>
      <c r="J6" s="818"/>
    </row>
    <row r="7" spans="1:13" s="819" customFormat="1" ht="15" customHeight="1">
      <c r="A7" s="857" t="s">
        <v>31</v>
      </c>
      <c r="B7" s="857"/>
      <c r="C7" s="857" t="s">
        <v>39</v>
      </c>
      <c r="D7" s="861" t="e">
        <f>+#REF!</f>
        <v>#REF!</v>
      </c>
      <c r="E7" s="862" t="s">
        <v>334</v>
      </c>
      <c r="F7" s="858"/>
      <c r="G7" s="858"/>
      <c r="H7" s="863"/>
      <c r="I7" s="852"/>
      <c r="J7" s="852"/>
    </row>
    <row r="8" spans="1:13" s="819" customFormat="1" ht="15" customHeight="1">
      <c r="A8" s="864" t="s">
        <v>19</v>
      </c>
      <c r="B8" s="864"/>
      <c r="C8" s="857" t="s">
        <v>39</v>
      </c>
      <c r="D8" s="861" t="e">
        <f>+D7/1.18</f>
        <v>#REF!</v>
      </c>
      <c r="E8" s="862" t="s">
        <v>430</v>
      </c>
      <c r="F8" s="865"/>
      <c r="G8" s="865"/>
      <c r="H8" s="866"/>
      <c r="I8" s="853"/>
      <c r="J8" s="853"/>
    </row>
    <row r="9" spans="1:13">
      <c r="A9" s="401"/>
      <c r="B9" s="325"/>
      <c r="C9" s="325"/>
      <c r="D9" s="11"/>
      <c r="E9" s="402"/>
      <c r="F9" s="33"/>
      <c r="G9" s="1"/>
      <c r="H9" s="1"/>
      <c r="I9" s="1"/>
      <c r="J9" s="5"/>
      <c r="K9" s="330"/>
      <c r="L9" s="330"/>
    </row>
    <row r="10" spans="1:13" ht="18">
      <c r="A10" s="982" t="s">
        <v>393</v>
      </c>
      <c r="B10" s="982"/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</row>
    <row r="11" spans="1:13" ht="18">
      <c r="A11" s="982" t="s">
        <v>394</v>
      </c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</row>
    <row r="12" spans="1:13">
      <c r="A12" s="403"/>
      <c r="B12" s="403"/>
      <c r="C12" s="403"/>
      <c r="D12" s="404"/>
      <c r="E12" s="403"/>
      <c r="F12" s="403"/>
      <c r="G12" s="403"/>
      <c r="H12" s="403"/>
      <c r="I12" s="403"/>
      <c r="J12" s="403"/>
      <c r="K12" s="403"/>
      <c r="L12" s="403"/>
      <c r="M12" s="403"/>
    </row>
    <row r="13" spans="1:13" ht="14.25">
      <c r="A13" s="405" t="s">
        <v>395</v>
      </c>
      <c r="B13" s="403"/>
      <c r="C13" s="403"/>
      <c r="D13" s="404"/>
      <c r="E13" s="403"/>
      <c r="F13" s="403"/>
      <c r="G13" s="403"/>
      <c r="H13" s="403"/>
      <c r="I13" s="403"/>
      <c r="J13" s="403"/>
      <c r="K13" s="403"/>
      <c r="L13" s="403"/>
      <c r="M13" s="403"/>
    </row>
    <row r="14" spans="1:13" ht="14.25">
      <c r="A14" s="405"/>
      <c r="B14" s="403"/>
      <c r="C14" s="403"/>
      <c r="D14" s="406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1:13" ht="15.75">
      <c r="A15" s="407" t="s">
        <v>396</v>
      </c>
      <c r="B15" s="408"/>
      <c r="C15" s="409"/>
      <c r="D15" s="410"/>
      <c r="E15" s="411"/>
      <c r="F15" s="403"/>
      <c r="G15" s="403"/>
      <c r="H15" s="403"/>
      <c r="I15" s="403"/>
      <c r="J15" s="403"/>
      <c r="K15" s="403"/>
      <c r="L15" s="403"/>
      <c r="M15" s="403"/>
    </row>
    <row r="16" spans="1:13" ht="14.25">
      <c r="A16" s="405"/>
      <c r="B16" s="403"/>
      <c r="C16" s="403"/>
      <c r="D16" s="404"/>
      <c r="E16" s="403"/>
      <c r="F16" s="403"/>
      <c r="G16" s="403"/>
      <c r="H16" s="403"/>
      <c r="I16" s="403"/>
      <c r="J16" s="403"/>
      <c r="K16" s="403"/>
      <c r="L16" s="403"/>
      <c r="M16" s="403"/>
    </row>
    <row r="17" spans="1:17" ht="14.25">
      <c r="A17" s="405" t="s">
        <v>397</v>
      </c>
      <c r="B17" s="403"/>
      <c r="C17" s="403"/>
      <c r="D17" s="404"/>
      <c r="E17" s="403"/>
      <c r="F17" s="403"/>
      <c r="G17" s="403"/>
      <c r="H17" s="403"/>
      <c r="I17" s="403"/>
      <c r="J17" s="403"/>
      <c r="K17" s="403"/>
      <c r="L17" s="403"/>
      <c r="M17" s="403"/>
    </row>
    <row r="18" spans="1:17" ht="14.25">
      <c r="A18" s="405" t="s">
        <v>398</v>
      </c>
      <c r="B18" s="403"/>
      <c r="C18" s="403"/>
      <c r="D18" s="404"/>
      <c r="E18" s="403"/>
      <c r="F18" s="403"/>
      <c r="G18" s="403"/>
      <c r="H18" s="403"/>
      <c r="I18" s="403"/>
      <c r="J18" s="403"/>
      <c r="K18" s="403"/>
      <c r="L18" s="403"/>
      <c r="M18" s="403"/>
    </row>
    <row r="19" spans="1:17" ht="14.25">
      <c r="A19" s="405" t="s">
        <v>399</v>
      </c>
      <c r="B19" s="403"/>
      <c r="C19" s="403"/>
      <c r="D19" s="404"/>
      <c r="E19" s="403"/>
      <c r="F19" s="403"/>
      <c r="G19" s="403"/>
      <c r="H19" s="403"/>
      <c r="I19" s="403"/>
      <c r="J19" s="403"/>
      <c r="K19" s="403"/>
      <c r="L19" s="403"/>
      <c r="M19" s="403"/>
    </row>
    <row r="20" spans="1:17" ht="14.25">
      <c r="A20" s="405" t="s">
        <v>400</v>
      </c>
      <c r="B20" s="403"/>
      <c r="C20" s="403"/>
      <c r="D20" s="404"/>
      <c r="E20" s="403"/>
      <c r="F20" s="403"/>
      <c r="G20" s="403"/>
      <c r="H20" s="403"/>
      <c r="I20" s="403"/>
      <c r="J20" s="403"/>
      <c r="K20" s="403"/>
      <c r="L20" s="403"/>
      <c r="M20" s="403"/>
    </row>
    <row r="21" spans="1:17" ht="14.25">
      <c r="A21" s="405" t="s">
        <v>401</v>
      </c>
      <c r="B21" s="403"/>
      <c r="C21" s="403"/>
      <c r="D21" s="404"/>
      <c r="E21" s="403"/>
      <c r="F21" s="403"/>
      <c r="G21" s="403"/>
      <c r="H21" s="403"/>
      <c r="I21" s="403"/>
      <c r="J21" s="403"/>
      <c r="K21" s="403"/>
      <c r="L21" s="403"/>
      <c r="M21" s="403"/>
    </row>
    <row r="22" spans="1:17" ht="14.25">
      <c r="A22" s="405" t="s">
        <v>525</v>
      </c>
      <c r="B22" s="403"/>
      <c r="C22" s="403"/>
      <c r="D22" s="404"/>
      <c r="E22" s="403"/>
      <c r="F22" s="403"/>
      <c r="G22" s="403"/>
      <c r="H22" s="403"/>
      <c r="I22" s="403"/>
      <c r="J22" s="403"/>
      <c r="K22" s="403"/>
      <c r="L22" s="403"/>
      <c r="M22" s="403"/>
    </row>
    <row r="23" spans="1:17" ht="14.25">
      <c r="A23" s="405" t="s">
        <v>515</v>
      </c>
      <c r="B23" s="403"/>
      <c r="C23" s="403"/>
      <c r="D23" s="404"/>
      <c r="E23" s="403"/>
      <c r="F23" s="403"/>
      <c r="G23" s="403"/>
      <c r="H23" s="403"/>
      <c r="I23" s="403"/>
      <c r="J23" s="403"/>
      <c r="K23" s="403"/>
      <c r="L23" s="403"/>
      <c r="M23" s="403"/>
    </row>
    <row r="24" spans="1:17" ht="14.25">
      <c r="A24" s="405"/>
      <c r="B24" s="403"/>
      <c r="C24" s="403"/>
      <c r="D24" s="404"/>
      <c r="E24" s="403"/>
      <c r="F24" s="403"/>
      <c r="G24" s="403"/>
      <c r="H24" s="403"/>
      <c r="I24" s="403"/>
      <c r="J24" s="403"/>
      <c r="K24" s="403"/>
      <c r="L24" s="403"/>
      <c r="M24" s="403"/>
    </row>
    <row r="25" spans="1:17">
      <c r="A25" s="412"/>
      <c r="B25" s="412"/>
      <c r="C25" s="412"/>
      <c r="D25" s="413"/>
      <c r="E25" s="412"/>
      <c r="F25" s="412"/>
      <c r="G25" s="412"/>
      <c r="H25" s="412"/>
      <c r="I25" s="412"/>
      <c r="J25" s="412"/>
      <c r="K25" s="414"/>
      <c r="L25" s="414"/>
      <c r="M25" s="414"/>
      <c r="N25" s="6">
        <v>22792.914000000001</v>
      </c>
      <c r="O25" s="6">
        <f>+N25*0.051</f>
        <v>1162.4386139999999</v>
      </c>
    </row>
    <row r="26" spans="1:17" ht="18">
      <c r="A26" s="983" t="s">
        <v>526</v>
      </c>
      <c r="B26" s="984"/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5"/>
    </row>
    <row r="27" spans="1:17">
      <c r="A27" s="412"/>
      <c r="B27" s="412"/>
      <c r="C27" s="412"/>
      <c r="D27" s="413"/>
      <c r="E27" s="412"/>
      <c r="F27" s="412"/>
      <c r="G27" s="412"/>
      <c r="H27" s="412"/>
      <c r="I27" s="412"/>
      <c r="J27" s="412"/>
      <c r="K27" s="414"/>
      <c r="L27" s="414"/>
      <c r="M27" s="414"/>
      <c r="O27" s="6">
        <v>5.0999999999999997E-2</v>
      </c>
      <c r="P27" s="6">
        <v>1</v>
      </c>
      <c r="Q27" s="6">
        <f>+O27-P27</f>
        <v>-0.94899999999999995</v>
      </c>
    </row>
    <row r="28" spans="1:17" ht="15">
      <c r="A28" s="416" t="s">
        <v>435</v>
      </c>
      <c r="B28" s="412"/>
      <c r="C28" s="412"/>
      <c r="D28" s="413"/>
      <c r="E28" s="412"/>
      <c r="F28" s="412"/>
      <c r="G28" s="412"/>
      <c r="H28" s="412"/>
      <c r="I28" s="412"/>
      <c r="J28" s="412"/>
      <c r="K28" s="414"/>
      <c r="L28" s="414"/>
      <c r="M28" s="414"/>
    </row>
    <row r="29" spans="1:17" ht="17.25">
      <c r="A29" s="415"/>
      <c r="B29" s="412"/>
      <c r="C29" s="412"/>
      <c r="D29" s="413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>
      <c r="A30" s="457"/>
      <c r="B30" s="457"/>
      <c r="C30" s="457"/>
      <c r="D30" s="458"/>
      <c r="E30" s="459"/>
      <c r="F30" s="459"/>
      <c r="G30" s="459"/>
      <c r="H30" s="459"/>
      <c r="I30" s="460"/>
      <c r="J30" s="461"/>
      <c r="K30" s="461"/>
      <c r="L30" s="461"/>
      <c r="M30" s="461"/>
    </row>
    <row r="31" spans="1:17" ht="15.75" thickBot="1">
      <c r="A31" s="416" t="s">
        <v>518</v>
      </c>
      <c r="B31" s="416"/>
      <c r="C31" s="412"/>
      <c r="D31" s="413"/>
      <c r="E31" s="412"/>
      <c r="F31" s="412"/>
      <c r="G31" s="412"/>
      <c r="H31" s="418"/>
      <c r="I31" s="412"/>
      <c r="J31" s="412"/>
      <c r="K31" s="414"/>
      <c r="L31" s="414"/>
      <c r="M31" s="414"/>
    </row>
    <row r="32" spans="1:17" ht="14.25" thickBot="1">
      <c r="A32" s="419" t="s">
        <v>402</v>
      </c>
      <c r="B32" s="420"/>
      <c r="C32" s="421" t="s">
        <v>384</v>
      </c>
      <c r="D32" s="422" t="s">
        <v>403</v>
      </c>
      <c r="E32" s="423" t="s">
        <v>404</v>
      </c>
      <c r="F32" s="421" t="s">
        <v>405</v>
      </c>
      <c r="G32" s="423" t="s">
        <v>381</v>
      </c>
      <c r="H32" s="423" t="s">
        <v>382</v>
      </c>
      <c r="I32" s="424" t="s">
        <v>406</v>
      </c>
      <c r="J32" s="425" t="s">
        <v>407</v>
      </c>
      <c r="K32" s="986" t="s">
        <v>408</v>
      </c>
      <c r="L32" s="426" t="s">
        <v>44</v>
      </c>
      <c r="M32" s="427" t="s">
        <v>409</v>
      </c>
    </row>
    <row r="33" spans="1:13" ht="27">
      <c r="A33" s="428" t="s">
        <v>38</v>
      </c>
      <c r="B33" s="429" t="s">
        <v>380</v>
      </c>
      <c r="C33" s="429" t="s">
        <v>410</v>
      </c>
      <c r="D33" s="430" t="s">
        <v>411</v>
      </c>
      <c r="E33" s="429" t="s">
        <v>412</v>
      </c>
      <c r="F33" s="429"/>
      <c r="G33" s="429" t="s">
        <v>527</v>
      </c>
      <c r="H33" s="429" t="s">
        <v>520</v>
      </c>
      <c r="I33" s="431" t="s">
        <v>413</v>
      </c>
      <c r="J33" s="432"/>
      <c r="K33" s="987"/>
      <c r="L33" s="433" t="s">
        <v>414</v>
      </c>
      <c r="M33" s="988" t="s">
        <v>415</v>
      </c>
    </row>
    <row r="34" spans="1:13" ht="14.25" thickBot="1">
      <c r="A34" s="434"/>
      <c r="B34" s="435"/>
      <c r="C34" s="435" t="s">
        <v>416</v>
      </c>
      <c r="D34" s="436" t="s">
        <v>417</v>
      </c>
      <c r="E34" s="435" t="s">
        <v>418</v>
      </c>
      <c r="F34" s="434" t="s">
        <v>419</v>
      </c>
      <c r="G34" s="435" t="s">
        <v>420</v>
      </c>
      <c r="H34" s="435" t="s">
        <v>421</v>
      </c>
      <c r="I34" s="437" t="s">
        <v>422</v>
      </c>
      <c r="J34" s="438" t="s">
        <v>423</v>
      </c>
      <c r="K34" s="438" t="s">
        <v>424</v>
      </c>
      <c r="L34" s="438" t="s">
        <v>425</v>
      </c>
      <c r="M34" s="989"/>
    </row>
    <row r="35" spans="1:13" ht="16.5">
      <c r="A35" s="439" t="s">
        <v>426</v>
      </c>
      <c r="B35" s="440">
        <v>42125</v>
      </c>
      <c r="C35" s="881">
        <v>0</v>
      </c>
      <c r="D35" s="464">
        <v>5.0999999999999997E-2</v>
      </c>
      <c r="E35" s="443">
        <f>+'Amortz. Mat.2'!F28</f>
        <v>118074.83</v>
      </c>
      <c r="F35" s="444" t="e">
        <f>+#REF!</f>
        <v>#REF!</v>
      </c>
      <c r="G35" s="444">
        <f>+'Amortz. Mat.2'!E31</f>
        <v>496.56</v>
      </c>
      <c r="H35" s="444">
        <v>451.86</v>
      </c>
      <c r="I35" s="445">
        <f t="shared" ref="I35:I44" si="0">+E35*H35/G35</f>
        <v>107445.81255799904</v>
      </c>
      <c r="J35" s="446">
        <f t="shared" ref="J35:J44" si="1">+C35*D35</f>
        <v>0</v>
      </c>
      <c r="K35" s="446">
        <v>0</v>
      </c>
      <c r="L35" s="446">
        <f>+I35-K35</f>
        <v>107445.81255799904</v>
      </c>
      <c r="M35" s="465" t="e">
        <f t="shared" ref="M35:M44" si="2">ROUND(+K35*(F35-G35)/H35,2)</f>
        <v>#REF!</v>
      </c>
    </row>
    <row r="36" spans="1:13" ht="16.5">
      <c r="A36" s="448" t="s">
        <v>8</v>
      </c>
      <c r="B36" s="449">
        <v>42156</v>
      </c>
      <c r="C36" s="881">
        <v>9903.7099999999991</v>
      </c>
      <c r="D36" s="442">
        <v>5.0999999999999997E-2</v>
      </c>
      <c r="E36" s="443">
        <f>+E35</f>
        <v>118074.83</v>
      </c>
      <c r="F36" s="444" t="e">
        <f>+#REF!</f>
        <v>#REF!</v>
      </c>
      <c r="G36" s="444">
        <f>+G35</f>
        <v>496.56</v>
      </c>
      <c r="H36" s="444">
        <v>451.86</v>
      </c>
      <c r="I36" s="445">
        <f t="shared" si="0"/>
        <v>107445.81255799904</v>
      </c>
      <c r="J36" s="446">
        <f t="shared" si="1"/>
        <v>505.08920999999992</v>
      </c>
      <c r="K36" s="446">
        <f t="shared" ref="K36:K44" si="3">+J36</f>
        <v>505.08920999999992</v>
      </c>
      <c r="L36" s="446">
        <f>+L35-K36</f>
        <v>106940.72334799904</v>
      </c>
      <c r="M36" s="465" t="e">
        <f t="shared" si="2"/>
        <v>#REF!</v>
      </c>
    </row>
    <row r="37" spans="1:13" ht="16.5">
      <c r="A37" s="448" t="s">
        <v>427</v>
      </c>
      <c r="B37" s="449">
        <v>42186</v>
      </c>
      <c r="C37" s="881">
        <v>39157.39</v>
      </c>
      <c r="D37" s="442">
        <v>5.0999999999999997E-2</v>
      </c>
      <c r="E37" s="443">
        <f t="shared" ref="E37:E44" si="4">+E36</f>
        <v>118074.83</v>
      </c>
      <c r="F37" s="444" t="e">
        <f>+#REF!</f>
        <v>#REF!</v>
      </c>
      <c r="G37" s="444">
        <f t="shared" ref="G37:G44" si="5">+G36</f>
        <v>496.56</v>
      </c>
      <c r="H37" s="444">
        <v>451.86</v>
      </c>
      <c r="I37" s="445">
        <f t="shared" si="0"/>
        <v>107445.81255799904</v>
      </c>
      <c r="J37" s="446">
        <f t="shared" si="1"/>
        <v>1997.0268899999999</v>
      </c>
      <c r="K37" s="446">
        <f t="shared" si="3"/>
        <v>1997.0268899999999</v>
      </c>
      <c r="L37" s="446">
        <f>+L36-K37</f>
        <v>104943.69645799905</v>
      </c>
      <c r="M37" s="465" t="e">
        <f t="shared" si="2"/>
        <v>#REF!</v>
      </c>
    </row>
    <row r="38" spans="1:13" ht="16.5">
      <c r="A38" s="448" t="s">
        <v>428</v>
      </c>
      <c r="B38" s="449">
        <v>42217</v>
      </c>
      <c r="C38" s="881">
        <v>0</v>
      </c>
      <c r="D38" s="442">
        <v>5.0999999999999997E-2</v>
      </c>
      <c r="E38" s="443">
        <f t="shared" si="4"/>
        <v>118074.83</v>
      </c>
      <c r="F38" s="444" t="e">
        <f>+#REF!</f>
        <v>#REF!</v>
      </c>
      <c r="G38" s="444">
        <f t="shared" si="5"/>
        <v>496.56</v>
      </c>
      <c r="H38" s="444">
        <v>451.86</v>
      </c>
      <c r="I38" s="445">
        <f t="shared" si="0"/>
        <v>107445.81255799904</v>
      </c>
      <c r="J38" s="446">
        <f t="shared" si="1"/>
        <v>0</v>
      </c>
      <c r="K38" s="446">
        <f t="shared" si="3"/>
        <v>0</v>
      </c>
      <c r="L38" s="446">
        <f t="shared" ref="L38:L44" si="6">+L37-K38</f>
        <v>104943.69645799905</v>
      </c>
      <c r="M38" s="465" t="e">
        <f t="shared" si="2"/>
        <v>#REF!</v>
      </c>
    </row>
    <row r="39" spans="1:13" ht="16.5">
      <c r="A39" s="448" t="s">
        <v>429</v>
      </c>
      <c r="B39" s="449">
        <v>42248</v>
      </c>
      <c r="C39" s="851" t="e">
        <f>+#REF!</f>
        <v>#REF!</v>
      </c>
      <c r="D39" s="442">
        <v>5.0999999999999997E-2</v>
      </c>
      <c r="E39" s="443">
        <f t="shared" si="4"/>
        <v>118074.83</v>
      </c>
      <c r="F39" s="444" t="e">
        <f>+#REF!</f>
        <v>#REF!</v>
      </c>
      <c r="G39" s="444">
        <f t="shared" si="5"/>
        <v>496.56</v>
      </c>
      <c r="H39" s="444">
        <v>451.86</v>
      </c>
      <c r="I39" s="445">
        <f t="shared" si="0"/>
        <v>107445.81255799904</v>
      </c>
      <c r="J39" s="446" t="e">
        <f t="shared" si="1"/>
        <v>#REF!</v>
      </c>
      <c r="K39" s="446">
        <f>+'Amortz. Mat.2'!H35</f>
        <v>69013.73</v>
      </c>
      <c r="L39" s="446">
        <f t="shared" si="6"/>
        <v>35929.966457999049</v>
      </c>
      <c r="M39" s="465" t="e">
        <f t="shared" si="2"/>
        <v>#REF!</v>
      </c>
    </row>
    <row r="40" spans="1:13" ht="16.5">
      <c r="A40" s="448" t="s">
        <v>445</v>
      </c>
      <c r="B40" s="449">
        <v>42278</v>
      </c>
      <c r="C40" s="851" t="e">
        <f>+#REF!</f>
        <v>#REF!</v>
      </c>
      <c r="D40" s="442">
        <v>5.0999999999999997E-2</v>
      </c>
      <c r="E40" s="443">
        <f t="shared" si="4"/>
        <v>118074.83</v>
      </c>
      <c r="F40" s="444" t="e">
        <f>+#REF!</f>
        <v>#REF!</v>
      </c>
      <c r="G40" s="444">
        <f t="shared" si="5"/>
        <v>496.56</v>
      </c>
      <c r="H40" s="444">
        <v>451.86</v>
      </c>
      <c r="I40" s="445">
        <f t="shared" si="0"/>
        <v>107445.81255799904</v>
      </c>
      <c r="J40" s="446" t="e">
        <f t="shared" si="1"/>
        <v>#REF!</v>
      </c>
      <c r="K40" s="446">
        <v>0</v>
      </c>
      <c r="L40" s="446">
        <f t="shared" si="6"/>
        <v>35929.966457999049</v>
      </c>
      <c r="M40" s="465" t="e">
        <f t="shared" si="2"/>
        <v>#REF!</v>
      </c>
    </row>
    <row r="41" spans="1:13" ht="16.5">
      <c r="A41" s="448" t="s">
        <v>446</v>
      </c>
      <c r="B41" s="449">
        <v>42309</v>
      </c>
      <c r="C41" s="851" t="e">
        <f>+#REF!</f>
        <v>#REF!</v>
      </c>
      <c r="D41" s="442">
        <v>5.0999999999999997E-2</v>
      </c>
      <c r="E41" s="443">
        <f t="shared" si="4"/>
        <v>118074.83</v>
      </c>
      <c r="F41" s="444">
        <v>461.49</v>
      </c>
      <c r="G41" s="444">
        <f t="shared" si="5"/>
        <v>496.56</v>
      </c>
      <c r="H41" s="444">
        <v>451.86</v>
      </c>
      <c r="I41" s="445">
        <f t="shared" si="0"/>
        <v>107445.81255799904</v>
      </c>
      <c r="J41" s="446" t="e">
        <f t="shared" si="1"/>
        <v>#REF!</v>
      </c>
      <c r="K41" s="446">
        <v>0</v>
      </c>
      <c r="L41" s="446">
        <f t="shared" si="6"/>
        <v>35929.966457999049</v>
      </c>
      <c r="M41" s="465">
        <f t="shared" si="2"/>
        <v>0</v>
      </c>
    </row>
    <row r="42" spans="1:13" ht="16.5">
      <c r="A42" s="448" t="s">
        <v>447</v>
      </c>
      <c r="B42" s="449">
        <v>42339</v>
      </c>
      <c r="C42" s="851" t="e">
        <f>+#REF!</f>
        <v>#REF!</v>
      </c>
      <c r="D42" s="442">
        <v>5.0999999999999997E-2</v>
      </c>
      <c r="E42" s="443">
        <f t="shared" si="4"/>
        <v>118074.83</v>
      </c>
      <c r="F42" s="444"/>
      <c r="G42" s="444">
        <f t="shared" si="5"/>
        <v>496.56</v>
      </c>
      <c r="H42" s="444">
        <v>451.86</v>
      </c>
      <c r="I42" s="445">
        <f t="shared" si="0"/>
        <v>107445.81255799904</v>
      </c>
      <c r="J42" s="446" t="e">
        <f t="shared" si="1"/>
        <v>#REF!</v>
      </c>
      <c r="K42" s="446" t="e">
        <f t="shared" si="3"/>
        <v>#REF!</v>
      </c>
      <c r="L42" s="446" t="e">
        <f t="shared" si="6"/>
        <v>#REF!</v>
      </c>
      <c r="M42" s="465" t="e">
        <f t="shared" si="2"/>
        <v>#REF!</v>
      </c>
    </row>
    <row r="43" spans="1:13" ht="16.5">
      <c r="A43" s="448" t="s">
        <v>449</v>
      </c>
      <c r="B43" s="449">
        <v>42370</v>
      </c>
      <c r="C43" s="851" t="e">
        <f>+#REF!</f>
        <v>#REF!</v>
      </c>
      <c r="D43" s="442">
        <v>5.0999999999999997E-2</v>
      </c>
      <c r="E43" s="443">
        <f t="shared" si="4"/>
        <v>118074.83</v>
      </c>
      <c r="F43" s="444"/>
      <c r="G43" s="444">
        <f t="shared" si="5"/>
        <v>496.56</v>
      </c>
      <c r="H43" s="444">
        <v>451.86</v>
      </c>
      <c r="I43" s="445">
        <f t="shared" si="0"/>
        <v>107445.81255799904</v>
      </c>
      <c r="J43" s="446" t="e">
        <f t="shared" si="1"/>
        <v>#REF!</v>
      </c>
      <c r="K43" s="446" t="e">
        <f t="shared" si="3"/>
        <v>#REF!</v>
      </c>
      <c r="L43" s="446" t="e">
        <f t="shared" si="6"/>
        <v>#REF!</v>
      </c>
      <c r="M43" s="465" t="e">
        <f t="shared" si="2"/>
        <v>#REF!</v>
      </c>
    </row>
    <row r="44" spans="1:13" ht="16.5">
      <c r="A44" s="448" t="s">
        <v>457</v>
      </c>
      <c r="B44" s="449">
        <v>42401</v>
      </c>
      <c r="C44" s="851" t="e">
        <f>+#REF!</f>
        <v>#REF!</v>
      </c>
      <c r="D44" s="442">
        <v>5.0999999999999997E-2</v>
      </c>
      <c r="E44" s="443">
        <f t="shared" si="4"/>
        <v>118074.83</v>
      </c>
      <c r="F44" s="444"/>
      <c r="G44" s="444">
        <f t="shared" si="5"/>
        <v>496.56</v>
      </c>
      <c r="H44" s="444">
        <v>451.86</v>
      </c>
      <c r="I44" s="445">
        <f t="shared" si="0"/>
        <v>107445.81255799904</v>
      </c>
      <c r="J44" s="446" t="e">
        <f t="shared" si="1"/>
        <v>#REF!</v>
      </c>
      <c r="K44" s="446" t="e">
        <f t="shared" si="3"/>
        <v>#REF!</v>
      </c>
      <c r="L44" s="446" t="e">
        <f t="shared" si="6"/>
        <v>#REF!</v>
      </c>
      <c r="M44" s="465" t="e">
        <f t="shared" si="2"/>
        <v>#REF!</v>
      </c>
    </row>
    <row r="45" spans="1:13" ht="17.25" thickBot="1">
      <c r="A45" s="448"/>
      <c r="B45" s="450"/>
      <c r="C45" s="441"/>
      <c r="D45" s="442"/>
      <c r="E45" s="443"/>
      <c r="F45" s="444"/>
      <c r="G45" s="444"/>
      <c r="H45" s="444"/>
      <c r="I45" s="445"/>
      <c r="J45" s="446"/>
      <c r="K45" s="446"/>
      <c r="L45" s="446"/>
      <c r="M45" s="447"/>
    </row>
    <row r="46" spans="1:13" ht="13.5" thickBot="1">
      <c r="A46" s="451" t="s">
        <v>0</v>
      </c>
      <c r="B46" s="452"/>
      <c r="C46" s="452"/>
      <c r="D46" s="453"/>
      <c r="E46" s="454"/>
      <c r="F46" s="454"/>
      <c r="G46" s="454"/>
      <c r="H46" s="454"/>
      <c r="I46" s="455"/>
      <c r="J46" s="456"/>
      <c r="K46" s="456" t="e">
        <f>SUM(K35:K45)</f>
        <v>#REF!</v>
      </c>
      <c r="L46" s="456"/>
      <c r="M46" s="808" t="e">
        <f>SUM(M35:M45)</f>
        <v>#REF!</v>
      </c>
    </row>
    <row r="47" spans="1:13">
      <c r="A47" s="457"/>
      <c r="B47" s="457"/>
      <c r="C47" s="457"/>
      <c r="D47" s="458"/>
      <c r="E47" s="459"/>
      <c r="F47" s="459"/>
      <c r="G47" s="459"/>
      <c r="H47" s="459"/>
      <c r="I47" s="460"/>
      <c r="J47" s="461"/>
      <c r="K47" s="461"/>
      <c r="L47" s="461"/>
      <c r="M47" s="461"/>
    </row>
    <row r="48" spans="1:13">
      <c r="A48" s="457"/>
      <c r="B48" s="457"/>
      <c r="C48" s="457"/>
      <c r="D48" s="458"/>
      <c r="E48" s="459"/>
      <c r="F48" s="459"/>
      <c r="G48" s="459"/>
      <c r="H48" s="459"/>
      <c r="I48" s="460"/>
      <c r="J48" s="461"/>
      <c r="K48" s="461"/>
      <c r="L48" s="461"/>
      <c r="M48" s="461"/>
    </row>
    <row r="49" spans="1:13">
      <c r="A49" s="457"/>
      <c r="B49" s="457"/>
      <c r="C49" s="457"/>
      <c r="D49" s="458"/>
      <c r="E49" s="459"/>
      <c r="F49" s="459"/>
      <c r="G49" s="459"/>
      <c r="H49" s="459"/>
      <c r="I49" s="460"/>
      <c r="J49" s="461"/>
      <c r="K49" s="461"/>
      <c r="L49" s="461"/>
      <c r="M49" s="461"/>
    </row>
    <row r="50" spans="1:13" ht="17.25" thickBot="1">
      <c r="A50" s="416" t="s">
        <v>434</v>
      </c>
      <c r="B50" s="417"/>
      <c r="C50" s="412"/>
      <c r="D50" s="413"/>
      <c r="E50" s="412"/>
      <c r="F50" s="412"/>
      <c r="G50" s="412"/>
      <c r="H50" s="418"/>
      <c r="I50" s="412"/>
      <c r="J50" s="412"/>
      <c r="K50" s="414"/>
      <c r="L50" s="414"/>
      <c r="M50" s="414"/>
    </row>
    <row r="51" spans="1:13" ht="14.25" thickBot="1">
      <c r="A51" s="419" t="s">
        <v>402</v>
      </c>
      <c r="B51" s="420"/>
      <c r="C51" s="421" t="s">
        <v>384</v>
      </c>
      <c r="D51" s="422" t="s">
        <v>403</v>
      </c>
      <c r="E51" s="423" t="s">
        <v>404</v>
      </c>
      <c r="F51" s="421" t="s">
        <v>405</v>
      </c>
      <c r="G51" s="423" t="s">
        <v>381</v>
      </c>
      <c r="H51" s="423" t="s">
        <v>382</v>
      </c>
      <c r="I51" s="424" t="s">
        <v>406</v>
      </c>
      <c r="J51" s="425" t="s">
        <v>407</v>
      </c>
      <c r="K51" s="986" t="s">
        <v>408</v>
      </c>
      <c r="L51" s="426" t="s">
        <v>44</v>
      </c>
      <c r="M51" s="427" t="s">
        <v>409</v>
      </c>
    </row>
    <row r="52" spans="1:13" ht="27">
      <c r="A52" s="428" t="s">
        <v>38</v>
      </c>
      <c r="B52" s="429" t="s">
        <v>380</v>
      </c>
      <c r="C52" s="429" t="s">
        <v>410</v>
      </c>
      <c r="D52" s="430" t="s">
        <v>411</v>
      </c>
      <c r="E52" s="429" t="s">
        <v>412</v>
      </c>
      <c r="F52" s="429"/>
      <c r="G52" s="429" t="s">
        <v>519</v>
      </c>
      <c r="H52" s="429" t="s">
        <v>520</v>
      </c>
      <c r="I52" s="431" t="s">
        <v>413</v>
      </c>
      <c r="J52" s="432"/>
      <c r="K52" s="987"/>
      <c r="L52" s="433" t="s">
        <v>414</v>
      </c>
      <c r="M52" s="988" t="s">
        <v>415</v>
      </c>
    </row>
    <row r="53" spans="1:13" ht="14.25" thickBot="1">
      <c r="A53" s="434"/>
      <c r="B53" s="435"/>
      <c r="C53" s="435" t="s">
        <v>416</v>
      </c>
      <c r="D53" s="436" t="s">
        <v>417</v>
      </c>
      <c r="E53" s="435" t="s">
        <v>418</v>
      </c>
      <c r="F53" s="434" t="s">
        <v>419</v>
      </c>
      <c r="G53" s="435" t="s">
        <v>420</v>
      </c>
      <c r="H53" s="435" t="s">
        <v>421</v>
      </c>
      <c r="I53" s="437" t="s">
        <v>422</v>
      </c>
      <c r="J53" s="438" t="s">
        <v>423</v>
      </c>
      <c r="K53" s="438" t="s">
        <v>424</v>
      </c>
      <c r="L53" s="438" t="s">
        <v>425</v>
      </c>
      <c r="M53" s="989"/>
    </row>
    <row r="54" spans="1:13" ht="16.5">
      <c r="A54" s="439" t="s">
        <v>426</v>
      </c>
      <c r="B54" s="440">
        <v>42125</v>
      </c>
      <c r="C54" s="881">
        <v>0</v>
      </c>
      <c r="D54" s="464">
        <v>6.5000000000000002E-2</v>
      </c>
      <c r="E54" s="443">
        <f>+'Amortz. Mat.2'!F46</f>
        <v>96669.11</v>
      </c>
      <c r="F54" s="444" t="e">
        <f>+#REF!</f>
        <v>#REF!</v>
      </c>
      <c r="G54" s="444">
        <f>+'Amortz. Mat.2'!E49</f>
        <v>410.96</v>
      </c>
      <c r="H54" s="444">
        <v>410.96</v>
      </c>
      <c r="I54" s="445">
        <f t="shared" ref="I54:I63" si="7">+E54*H54/G54</f>
        <v>96669.11</v>
      </c>
      <c r="J54" s="446">
        <f t="shared" ref="J54:J63" si="8">+C54*D54</f>
        <v>0</v>
      </c>
      <c r="K54" s="446">
        <v>0</v>
      </c>
      <c r="L54" s="446">
        <f>+I54-K54</f>
        <v>96669.11</v>
      </c>
      <c r="M54" s="465" t="e">
        <f t="shared" ref="M54:M63" si="9">ROUND(+K54*(F54-G54)/H54,2)</f>
        <v>#REF!</v>
      </c>
    </row>
    <row r="55" spans="1:13" ht="16.5">
      <c r="A55" s="448" t="s">
        <v>8</v>
      </c>
      <c r="B55" s="449">
        <v>42156</v>
      </c>
      <c r="C55" s="881">
        <v>7922.97</v>
      </c>
      <c r="D55" s="442">
        <v>6.5000000000000002E-2</v>
      </c>
      <c r="E55" s="443">
        <f>+E54</f>
        <v>96669.11</v>
      </c>
      <c r="F55" s="444" t="e">
        <f>+#REF!</f>
        <v>#REF!</v>
      </c>
      <c r="G55" s="444">
        <f>+G54</f>
        <v>410.96</v>
      </c>
      <c r="H55" s="444">
        <v>410.96</v>
      </c>
      <c r="I55" s="445">
        <f t="shared" si="7"/>
        <v>96669.11</v>
      </c>
      <c r="J55" s="446">
        <f t="shared" si="8"/>
        <v>514.99305000000004</v>
      </c>
      <c r="K55" s="446">
        <f>+J55</f>
        <v>514.99305000000004</v>
      </c>
      <c r="L55" s="446">
        <f>+L54-K55</f>
        <v>96154.116949999996</v>
      </c>
      <c r="M55" s="465" t="e">
        <f t="shared" si="9"/>
        <v>#REF!</v>
      </c>
    </row>
    <row r="56" spans="1:13" ht="16.5">
      <c r="A56" s="448" t="s">
        <v>427</v>
      </c>
      <c r="B56" s="449">
        <v>42186</v>
      </c>
      <c r="C56" s="881">
        <v>30455.74</v>
      </c>
      <c r="D56" s="442">
        <v>6.5000000000000002E-2</v>
      </c>
      <c r="E56" s="443">
        <f t="shared" ref="E56:E63" si="10">+E55</f>
        <v>96669.11</v>
      </c>
      <c r="F56" s="444" t="e">
        <f>+#REF!</f>
        <v>#REF!</v>
      </c>
      <c r="G56" s="444">
        <f t="shared" ref="G56:G63" si="11">+G55</f>
        <v>410.96</v>
      </c>
      <c r="H56" s="444">
        <v>410.96</v>
      </c>
      <c r="I56" s="445">
        <f t="shared" si="7"/>
        <v>96669.11</v>
      </c>
      <c r="J56" s="446">
        <f t="shared" si="8"/>
        <v>1979.6231000000002</v>
      </c>
      <c r="K56" s="446">
        <f>+J56</f>
        <v>1979.6231000000002</v>
      </c>
      <c r="L56" s="446">
        <f>+L55-K56</f>
        <v>94174.493849999999</v>
      </c>
      <c r="M56" s="465" t="e">
        <f t="shared" si="9"/>
        <v>#REF!</v>
      </c>
    </row>
    <row r="57" spans="1:13" ht="16.5">
      <c r="A57" s="448" t="s">
        <v>428</v>
      </c>
      <c r="B57" s="449">
        <v>42217</v>
      </c>
      <c r="C57" s="881">
        <v>0</v>
      </c>
      <c r="D57" s="442">
        <v>6.5000000000000002E-2</v>
      </c>
      <c r="E57" s="443">
        <f t="shared" si="10"/>
        <v>96669.11</v>
      </c>
      <c r="F57" s="444" t="e">
        <f>+#REF!</f>
        <v>#REF!</v>
      </c>
      <c r="G57" s="444">
        <f t="shared" si="11"/>
        <v>410.96</v>
      </c>
      <c r="H57" s="444">
        <v>410.96</v>
      </c>
      <c r="I57" s="445">
        <f t="shared" si="7"/>
        <v>96669.11</v>
      </c>
      <c r="J57" s="446">
        <f t="shared" si="8"/>
        <v>0</v>
      </c>
      <c r="K57" s="446">
        <v>0</v>
      </c>
      <c r="L57" s="446">
        <f t="shared" ref="L57:L63" si="12">+L56-K57</f>
        <v>94174.493849999999</v>
      </c>
      <c r="M57" s="465" t="e">
        <f t="shared" si="9"/>
        <v>#REF!</v>
      </c>
    </row>
    <row r="58" spans="1:13" ht="16.5">
      <c r="A58" s="448" t="s">
        <v>429</v>
      </c>
      <c r="B58" s="449">
        <v>42248</v>
      </c>
      <c r="C58" s="851" t="e">
        <f>+#REF!</f>
        <v>#REF!</v>
      </c>
      <c r="D58" s="442">
        <v>6.5000000000000002E-2</v>
      </c>
      <c r="E58" s="443">
        <f t="shared" si="10"/>
        <v>96669.11</v>
      </c>
      <c r="F58" s="444" t="e">
        <f>+#REF!</f>
        <v>#REF!</v>
      </c>
      <c r="G58" s="444">
        <f t="shared" si="11"/>
        <v>410.96</v>
      </c>
      <c r="H58" s="444">
        <v>410.96</v>
      </c>
      <c r="I58" s="445">
        <f t="shared" si="7"/>
        <v>96669.11</v>
      </c>
      <c r="J58" s="446" t="e">
        <f t="shared" si="8"/>
        <v>#REF!</v>
      </c>
      <c r="K58" s="446" t="e">
        <f>+J58</f>
        <v>#REF!</v>
      </c>
      <c r="L58" s="446" t="e">
        <f t="shared" si="12"/>
        <v>#REF!</v>
      </c>
      <c r="M58" s="465" t="e">
        <f t="shared" si="9"/>
        <v>#REF!</v>
      </c>
    </row>
    <row r="59" spans="1:13" ht="16.5">
      <c r="A59" s="448" t="s">
        <v>445</v>
      </c>
      <c r="B59" s="449">
        <v>42278</v>
      </c>
      <c r="C59" s="851" t="e">
        <f>+#REF!</f>
        <v>#REF!</v>
      </c>
      <c r="D59" s="442">
        <v>6.5000000000000002E-2</v>
      </c>
      <c r="E59" s="443">
        <f t="shared" si="10"/>
        <v>96669.11</v>
      </c>
      <c r="F59" s="444" t="e">
        <f>+#REF!</f>
        <v>#REF!</v>
      </c>
      <c r="G59" s="444">
        <f t="shared" si="11"/>
        <v>410.96</v>
      </c>
      <c r="H59" s="444">
        <v>410.96</v>
      </c>
      <c r="I59" s="445">
        <f t="shared" si="7"/>
        <v>96669.11</v>
      </c>
      <c r="J59" s="446" t="e">
        <f t="shared" si="8"/>
        <v>#REF!</v>
      </c>
      <c r="K59" s="446">
        <v>0</v>
      </c>
      <c r="L59" s="446" t="e">
        <f t="shared" si="12"/>
        <v>#REF!</v>
      </c>
      <c r="M59" s="465" t="e">
        <f t="shared" si="9"/>
        <v>#REF!</v>
      </c>
    </row>
    <row r="60" spans="1:13" ht="16.5">
      <c r="A60" s="448" t="s">
        <v>446</v>
      </c>
      <c r="B60" s="449">
        <v>42309</v>
      </c>
      <c r="C60" s="851" t="e">
        <f>+#REF!</f>
        <v>#REF!</v>
      </c>
      <c r="D60" s="442">
        <v>6.5000000000000002E-2</v>
      </c>
      <c r="E60" s="443">
        <f t="shared" si="10"/>
        <v>96669.11</v>
      </c>
      <c r="F60" s="444">
        <v>41.96</v>
      </c>
      <c r="G60" s="444">
        <f t="shared" si="11"/>
        <v>410.96</v>
      </c>
      <c r="H60" s="444">
        <v>410.96</v>
      </c>
      <c r="I60" s="445">
        <f t="shared" si="7"/>
        <v>96669.11</v>
      </c>
      <c r="J60" s="446" t="e">
        <f t="shared" si="8"/>
        <v>#REF!</v>
      </c>
      <c r="K60" s="446">
        <v>0</v>
      </c>
      <c r="L60" s="446" t="e">
        <f t="shared" si="12"/>
        <v>#REF!</v>
      </c>
      <c r="M60" s="465">
        <f t="shared" si="9"/>
        <v>0</v>
      </c>
    </row>
    <row r="61" spans="1:13" ht="16.5">
      <c r="A61" s="448" t="s">
        <v>447</v>
      </c>
      <c r="B61" s="449">
        <v>42339</v>
      </c>
      <c r="C61" s="851" t="e">
        <f>+#REF!</f>
        <v>#REF!</v>
      </c>
      <c r="D61" s="442">
        <v>6.5000000000000002E-2</v>
      </c>
      <c r="E61" s="443">
        <f t="shared" si="10"/>
        <v>96669.11</v>
      </c>
      <c r="F61" s="444"/>
      <c r="G61" s="444">
        <f t="shared" si="11"/>
        <v>410.96</v>
      </c>
      <c r="H61" s="444">
        <v>410.96</v>
      </c>
      <c r="I61" s="445">
        <f t="shared" si="7"/>
        <v>96669.11</v>
      </c>
      <c r="J61" s="446" t="e">
        <f t="shared" si="8"/>
        <v>#REF!</v>
      </c>
      <c r="K61" s="446" t="e">
        <f>+J61</f>
        <v>#REF!</v>
      </c>
      <c r="L61" s="446" t="e">
        <f t="shared" si="12"/>
        <v>#REF!</v>
      </c>
      <c r="M61" s="465" t="e">
        <f t="shared" si="9"/>
        <v>#REF!</v>
      </c>
    </row>
    <row r="62" spans="1:13" ht="16.5">
      <c r="A62" s="448" t="s">
        <v>449</v>
      </c>
      <c r="B62" s="449">
        <v>42370</v>
      </c>
      <c r="C62" s="851" t="e">
        <f>+#REF!</f>
        <v>#REF!</v>
      </c>
      <c r="D62" s="442">
        <v>6.5000000000000002E-2</v>
      </c>
      <c r="E62" s="443">
        <f t="shared" si="10"/>
        <v>96669.11</v>
      </c>
      <c r="F62" s="444"/>
      <c r="G62" s="444">
        <f t="shared" si="11"/>
        <v>410.96</v>
      </c>
      <c r="H62" s="444">
        <v>410.96</v>
      </c>
      <c r="I62" s="445">
        <f t="shared" si="7"/>
        <v>96669.11</v>
      </c>
      <c r="J62" s="446" t="e">
        <f t="shared" si="8"/>
        <v>#REF!</v>
      </c>
      <c r="K62" s="446" t="e">
        <f>+J62</f>
        <v>#REF!</v>
      </c>
      <c r="L62" s="446" t="e">
        <f t="shared" si="12"/>
        <v>#REF!</v>
      </c>
      <c r="M62" s="465" t="e">
        <f t="shared" si="9"/>
        <v>#REF!</v>
      </c>
    </row>
    <row r="63" spans="1:13" ht="16.5">
      <c r="A63" s="448" t="s">
        <v>457</v>
      </c>
      <c r="B63" s="449">
        <v>42401</v>
      </c>
      <c r="C63" s="851" t="e">
        <f>+#REF!</f>
        <v>#REF!</v>
      </c>
      <c r="D63" s="442">
        <v>6.5000000000000002E-2</v>
      </c>
      <c r="E63" s="443">
        <f t="shared" si="10"/>
        <v>96669.11</v>
      </c>
      <c r="F63" s="444"/>
      <c r="G63" s="444">
        <f t="shared" si="11"/>
        <v>410.96</v>
      </c>
      <c r="H63" s="444">
        <v>410.96</v>
      </c>
      <c r="I63" s="445">
        <f t="shared" si="7"/>
        <v>96669.11</v>
      </c>
      <c r="J63" s="446" t="e">
        <f t="shared" si="8"/>
        <v>#REF!</v>
      </c>
      <c r="K63" s="446" t="e">
        <f>+J63</f>
        <v>#REF!</v>
      </c>
      <c r="L63" s="446" t="e">
        <f t="shared" si="12"/>
        <v>#REF!</v>
      </c>
      <c r="M63" s="465" t="e">
        <f t="shared" si="9"/>
        <v>#REF!</v>
      </c>
    </row>
    <row r="64" spans="1:13" ht="17.25" thickBot="1">
      <c r="A64" s="448"/>
      <c r="B64" s="450"/>
      <c r="C64" s="441"/>
      <c r="D64" s="442"/>
      <c r="E64" s="443"/>
      <c r="F64" s="444"/>
      <c r="G64" s="444"/>
      <c r="H64" s="444"/>
      <c r="I64" s="445"/>
      <c r="J64" s="446"/>
      <c r="K64" s="446"/>
      <c r="L64" s="446"/>
      <c r="M64" s="447"/>
    </row>
    <row r="65" spans="1:13" ht="13.5" thickBot="1">
      <c r="A65" s="451" t="s">
        <v>0</v>
      </c>
      <c r="B65" s="452"/>
      <c r="C65" s="452"/>
      <c r="D65" s="453"/>
      <c r="E65" s="454"/>
      <c r="F65" s="454"/>
      <c r="G65" s="454"/>
      <c r="H65" s="454"/>
      <c r="I65" s="455"/>
      <c r="J65" s="456"/>
      <c r="K65" s="456" t="e">
        <f>SUM(K54:K64)</f>
        <v>#REF!</v>
      </c>
      <c r="L65" s="456"/>
      <c r="M65" s="808" t="e">
        <f>SUM(M54:M64)</f>
        <v>#REF!</v>
      </c>
    </row>
    <row r="66" spans="1:13">
      <c r="A66" s="457"/>
      <c r="B66" s="457"/>
      <c r="C66" s="457"/>
      <c r="D66" s="458"/>
      <c r="E66" s="459"/>
      <c r="F66" s="459"/>
      <c r="G66" s="459"/>
      <c r="H66" s="459"/>
      <c r="I66" s="460"/>
      <c r="J66" s="461"/>
      <c r="K66" s="461"/>
      <c r="L66" s="461"/>
      <c r="M66" s="461"/>
    </row>
    <row r="67" spans="1:13" ht="17.25" thickBot="1">
      <c r="A67" s="416" t="s">
        <v>516</v>
      </c>
      <c r="B67" s="417"/>
      <c r="C67" s="412"/>
      <c r="D67" s="413"/>
      <c r="E67" s="412"/>
      <c r="F67" s="412"/>
      <c r="G67" s="412"/>
      <c r="H67" s="418"/>
      <c r="I67" s="412"/>
      <c r="J67" s="412"/>
      <c r="K67" s="414"/>
      <c r="L67" s="414"/>
      <c r="M67" s="414"/>
    </row>
    <row r="68" spans="1:13" ht="14.25" thickBot="1">
      <c r="A68" s="419" t="s">
        <v>402</v>
      </c>
      <c r="B68" s="420"/>
      <c r="C68" s="421" t="s">
        <v>384</v>
      </c>
      <c r="D68" s="422" t="s">
        <v>403</v>
      </c>
      <c r="E68" s="423" t="s">
        <v>404</v>
      </c>
      <c r="F68" s="421" t="s">
        <v>405</v>
      </c>
      <c r="G68" s="423" t="s">
        <v>381</v>
      </c>
      <c r="H68" s="423" t="s">
        <v>382</v>
      </c>
      <c r="I68" s="424" t="s">
        <v>406</v>
      </c>
      <c r="J68" s="425" t="s">
        <v>407</v>
      </c>
      <c r="K68" s="986" t="s">
        <v>408</v>
      </c>
      <c r="L68" s="426" t="s">
        <v>44</v>
      </c>
      <c r="M68" s="427" t="s">
        <v>409</v>
      </c>
    </row>
    <row r="69" spans="1:13" ht="27">
      <c r="A69" s="428" t="s">
        <v>38</v>
      </c>
      <c r="B69" s="429" t="s">
        <v>380</v>
      </c>
      <c r="C69" s="429" t="s">
        <v>410</v>
      </c>
      <c r="D69" s="430" t="s">
        <v>411</v>
      </c>
      <c r="E69" s="429" t="s">
        <v>412</v>
      </c>
      <c r="F69" s="429"/>
      <c r="G69" s="429" t="s">
        <v>519</v>
      </c>
      <c r="H69" s="429" t="s">
        <v>520</v>
      </c>
      <c r="I69" s="431" t="s">
        <v>413</v>
      </c>
      <c r="J69" s="432"/>
      <c r="K69" s="987"/>
      <c r="L69" s="433" t="s">
        <v>414</v>
      </c>
      <c r="M69" s="988" t="s">
        <v>415</v>
      </c>
    </row>
    <row r="70" spans="1:13" ht="14.25" thickBot="1">
      <c r="A70" s="434"/>
      <c r="B70" s="435"/>
      <c r="C70" s="435" t="s">
        <v>416</v>
      </c>
      <c r="D70" s="436" t="s">
        <v>417</v>
      </c>
      <c r="E70" s="435" t="s">
        <v>418</v>
      </c>
      <c r="F70" s="434" t="s">
        <v>419</v>
      </c>
      <c r="G70" s="435" t="s">
        <v>420</v>
      </c>
      <c r="H70" s="435" t="s">
        <v>421</v>
      </c>
      <c r="I70" s="437" t="s">
        <v>422</v>
      </c>
      <c r="J70" s="438" t="s">
        <v>423</v>
      </c>
      <c r="K70" s="438" t="s">
        <v>424</v>
      </c>
      <c r="L70" s="438" t="s">
        <v>425</v>
      </c>
      <c r="M70" s="989"/>
    </row>
    <row r="71" spans="1:13" ht="16.5">
      <c r="A71" s="439" t="s">
        <v>426</v>
      </c>
      <c r="B71" s="440">
        <v>42125</v>
      </c>
      <c r="C71" s="881">
        <v>0</v>
      </c>
      <c r="D71" s="464">
        <v>0.27500000000000002</v>
      </c>
      <c r="E71" s="443">
        <f>+'Amortz. Mat.2'!F63</f>
        <v>1116682.23</v>
      </c>
      <c r="F71" s="444" t="e">
        <f>+#REF!</f>
        <v>#REF!</v>
      </c>
      <c r="G71" s="444">
        <f>+'Amortz. Mat.2'!E66</f>
        <v>523.15</v>
      </c>
      <c r="H71" s="444">
        <v>523.70000000000005</v>
      </c>
      <c r="I71" s="445">
        <f t="shared" ref="I71:I80" si="13">+E71*H71/G71</f>
        <v>1117856.2245073116</v>
      </c>
      <c r="J71" s="446">
        <f t="shared" ref="J71:J80" si="14">+C71*D71</f>
        <v>0</v>
      </c>
      <c r="K71" s="446">
        <v>0</v>
      </c>
      <c r="L71" s="446">
        <f>+I71-K71</f>
        <v>1117856.2245073116</v>
      </c>
      <c r="M71" s="465" t="e">
        <f t="shared" ref="M71:M80" si="15">ROUND(+K71*(F71-G71)/H71,2)</f>
        <v>#REF!</v>
      </c>
    </row>
    <row r="72" spans="1:13" ht="16.5">
      <c r="A72" s="448" t="s">
        <v>8</v>
      </c>
      <c r="B72" s="449">
        <v>42156</v>
      </c>
      <c r="C72" s="881">
        <v>89133.41</v>
      </c>
      <c r="D72" s="442">
        <v>0.27500000000000002</v>
      </c>
      <c r="E72" s="443">
        <f>+E71</f>
        <v>1116682.23</v>
      </c>
      <c r="F72" s="444" t="e">
        <f>+#REF!</f>
        <v>#REF!</v>
      </c>
      <c r="G72" s="444">
        <f>+G71</f>
        <v>523.15</v>
      </c>
      <c r="H72" s="444">
        <v>523.70000000000005</v>
      </c>
      <c r="I72" s="445">
        <f t="shared" si="13"/>
        <v>1117856.2245073116</v>
      </c>
      <c r="J72" s="446">
        <f t="shared" si="14"/>
        <v>24511.687750000005</v>
      </c>
      <c r="K72" s="446">
        <f t="shared" ref="K72:K80" si="16">+J72</f>
        <v>24511.687750000005</v>
      </c>
      <c r="L72" s="446">
        <f>+L71-K72</f>
        <v>1093344.5367573116</v>
      </c>
      <c r="M72" s="465" t="e">
        <f t="shared" si="15"/>
        <v>#REF!</v>
      </c>
    </row>
    <row r="73" spans="1:13" ht="16.5">
      <c r="A73" s="448" t="s">
        <v>427</v>
      </c>
      <c r="B73" s="449">
        <v>42186</v>
      </c>
      <c r="C73" s="881">
        <v>374170.57</v>
      </c>
      <c r="D73" s="442">
        <v>0.27500000000000002</v>
      </c>
      <c r="E73" s="443">
        <f t="shared" ref="E73:E80" si="17">+E72</f>
        <v>1116682.23</v>
      </c>
      <c r="F73" s="444" t="e">
        <f>+#REF!</f>
        <v>#REF!</v>
      </c>
      <c r="G73" s="444">
        <f t="shared" ref="G73:G80" si="18">+G72</f>
        <v>523.15</v>
      </c>
      <c r="H73" s="444">
        <v>523.70000000000005</v>
      </c>
      <c r="I73" s="445">
        <f t="shared" si="13"/>
        <v>1117856.2245073116</v>
      </c>
      <c r="J73" s="446">
        <f t="shared" si="14"/>
        <v>102896.90675000001</v>
      </c>
      <c r="K73" s="446">
        <f t="shared" si="16"/>
        <v>102896.90675000001</v>
      </c>
      <c r="L73" s="446">
        <f>+L72-K73</f>
        <v>990447.63000731159</v>
      </c>
      <c r="M73" s="465" t="e">
        <f t="shared" si="15"/>
        <v>#REF!</v>
      </c>
    </row>
    <row r="74" spans="1:13" ht="16.5">
      <c r="A74" s="448" t="s">
        <v>428</v>
      </c>
      <c r="B74" s="449">
        <v>42217</v>
      </c>
      <c r="C74" s="881">
        <v>0</v>
      </c>
      <c r="D74" s="442">
        <v>0.27500000000000002</v>
      </c>
      <c r="E74" s="443">
        <f t="shared" si="17"/>
        <v>1116682.23</v>
      </c>
      <c r="F74" s="444" t="e">
        <f>+#REF!</f>
        <v>#REF!</v>
      </c>
      <c r="G74" s="444">
        <f t="shared" si="18"/>
        <v>523.15</v>
      </c>
      <c r="H74" s="444">
        <v>523.70000000000005</v>
      </c>
      <c r="I74" s="445">
        <f t="shared" si="13"/>
        <v>1117856.2245073116</v>
      </c>
      <c r="J74" s="446">
        <f t="shared" si="14"/>
        <v>0</v>
      </c>
      <c r="K74" s="446">
        <v>0</v>
      </c>
      <c r="L74" s="446">
        <f t="shared" ref="L74:L80" si="19">+L73-K74</f>
        <v>990447.63000731159</v>
      </c>
      <c r="M74" s="465" t="e">
        <f t="shared" si="15"/>
        <v>#REF!</v>
      </c>
    </row>
    <row r="75" spans="1:13" ht="16.5">
      <c r="A75" s="448" t="s">
        <v>429</v>
      </c>
      <c r="B75" s="449">
        <v>42248</v>
      </c>
      <c r="C75" s="851" t="e">
        <f>+#REF!</f>
        <v>#REF!</v>
      </c>
      <c r="D75" s="442">
        <v>0.27500000000000002</v>
      </c>
      <c r="E75" s="443">
        <f t="shared" si="17"/>
        <v>1116682.23</v>
      </c>
      <c r="F75" s="444" t="e">
        <f>+#REF!</f>
        <v>#REF!</v>
      </c>
      <c r="G75" s="444">
        <f t="shared" si="18"/>
        <v>523.15</v>
      </c>
      <c r="H75" s="444">
        <v>523.70000000000005</v>
      </c>
      <c r="I75" s="445">
        <f t="shared" si="13"/>
        <v>1117856.2245073116</v>
      </c>
      <c r="J75" s="446" t="e">
        <f t="shared" si="14"/>
        <v>#REF!</v>
      </c>
      <c r="K75" s="446" t="e">
        <f t="shared" si="16"/>
        <v>#REF!</v>
      </c>
      <c r="L75" s="446" t="e">
        <f t="shared" si="19"/>
        <v>#REF!</v>
      </c>
      <c r="M75" s="465" t="e">
        <f t="shared" si="15"/>
        <v>#REF!</v>
      </c>
    </row>
    <row r="76" spans="1:13" ht="16.5">
      <c r="A76" s="448" t="s">
        <v>445</v>
      </c>
      <c r="B76" s="449">
        <v>42278</v>
      </c>
      <c r="C76" s="851" t="e">
        <f>+#REF!</f>
        <v>#REF!</v>
      </c>
      <c r="D76" s="442">
        <v>0.27500000000000002</v>
      </c>
      <c r="E76" s="443">
        <f t="shared" si="17"/>
        <v>1116682.23</v>
      </c>
      <c r="F76" s="444" t="e">
        <f>+#REF!</f>
        <v>#REF!</v>
      </c>
      <c r="G76" s="444">
        <f t="shared" si="18"/>
        <v>523.15</v>
      </c>
      <c r="H76" s="444">
        <v>523.70000000000005</v>
      </c>
      <c r="I76" s="445">
        <f t="shared" si="13"/>
        <v>1117856.2245073116</v>
      </c>
      <c r="J76" s="446" t="e">
        <f t="shared" si="14"/>
        <v>#REF!</v>
      </c>
      <c r="K76" s="446" t="e">
        <f>+'Amortz. Mat.2'!H71</f>
        <v>#REF!</v>
      </c>
      <c r="L76" s="446" t="e">
        <f t="shared" si="19"/>
        <v>#REF!</v>
      </c>
      <c r="M76" s="465" t="e">
        <f t="shared" si="15"/>
        <v>#REF!</v>
      </c>
    </row>
    <row r="77" spans="1:13" ht="16.5">
      <c r="A77" s="448" t="s">
        <v>446</v>
      </c>
      <c r="B77" s="449">
        <v>42309</v>
      </c>
      <c r="C77" s="851" t="e">
        <f>+#REF!</f>
        <v>#REF!</v>
      </c>
      <c r="D77" s="442">
        <v>0.27500000000000002</v>
      </c>
      <c r="E77" s="443">
        <f t="shared" si="17"/>
        <v>1116682.23</v>
      </c>
      <c r="F77" s="444">
        <v>544.59</v>
      </c>
      <c r="G77" s="444">
        <f t="shared" si="18"/>
        <v>523.15</v>
      </c>
      <c r="H77" s="444">
        <v>523.70000000000005</v>
      </c>
      <c r="I77" s="445">
        <f t="shared" si="13"/>
        <v>1117856.2245073116</v>
      </c>
      <c r="J77" s="446" t="e">
        <f t="shared" si="14"/>
        <v>#REF!</v>
      </c>
      <c r="K77" s="446">
        <v>0</v>
      </c>
      <c r="L77" s="446" t="e">
        <f t="shared" si="19"/>
        <v>#REF!</v>
      </c>
      <c r="M77" s="465">
        <f t="shared" si="15"/>
        <v>0</v>
      </c>
    </row>
    <row r="78" spans="1:13" ht="16.5">
      <c r="A78" s="448" t="s">
        <v>447</v>
      </c>
      <c r="B78" s="449">
        <v>42339</v>
      </c>
      <c r="C78" s="851" t="e">
        <f>+#REF!</f>
        <v>#REF!</v>
      </c>
      <c r="D78" s="442">
        <v>0.27500000000000002</v>
      </c>
      <c r="E78" s="443">
        <f t="shared" si="17"/>
        <v>1116682.23</v>
      </c>
      <c r="F78" s="444"/>
      <c r="G78" s="444">
        <f t="shared" si="18"/>
        <v>523.15</v>
      </c>
      <c r="H78" s="444">
        <v>523.70000000000005</v>
      </c>
      <c r="I78" s="445">
        <f t="shared" si="13"/>
        <v>1117856.2245073116</v>
      </c>
      <c r="J78" s="446" t="e">
        <f t="shared" si="14"/>
        <v>#REF!</v>
      </c>
      <c r="K78" s="446" t="e">
        <f t="shared" si="16"/>
        <v>#REF!</v>
      </c>
      <c r="L78" s="446" t="e">
        <f t="shared" si="19"/>
        <v>#REF!</v>
      </c>
      <c r="M78" s="465" t="e">
        <f t="shared" si="15"/>
        <v>#REF!</v>
      </c>
    </row>
    <row r="79" spans="1:13" ht="16.5">
      <c r="A79" s="448" t="s">
        <v>449</v>
      </c>
      <c r="B79" s="449">
        <v>42370</v>
      </c>
      <c r="C79" s="851" t="e">
        <f>+#REF!</f>
        <v>#REF!</v>
      </c>
      <c r="D79" s="442">
        <v>0.27500000000000002</v>
      </c>
      <c r="E79" s="443">
        <f t="shared" si="17"/>
        <v>1116682.23</v>
      </c>
      <c r="F79" s="444"/>
      <c r="G79" s="444">
        <f t="shared" si="18"/>
        <v>523.15</v>
      </c>
      <c r="H79" s="444">
        <v>523.70000000000005</v>
      </c>
      <c r="I79" s="445">
        <f t="shared" si="13"/>
        <v>1117856.2245073116</v>
      </c>
      <c r="J79" s="446" t="e">
        <f t="shared" si="14"/>
        <v>#REF!</v>
      </c>
      <c r="K79" s="446" t="e">
        <f t="shared" si="16"/>
        <v>#REF!</v>
      </c>
      <c r="L79" s="446" t="e">
        <f t="shared" si="19"/>
        <v>#REF!</v>
      </c>
      <c r="M79" s="465" t="e">
        <f t="shared" si="15"/>
        <v>#REF!</v>
      </c>
    </row>
    <row r="80" spans="1:13" ht="16.5">
      <c r="A80" s="448" t="s">
        <v>457</v>
      </c>
      <c r="B80" s="449">
        <v>42401</v>
      </c>
      <c r="C80" s="851" t="e">
        <f>+#REF!</f>
        <v>#REF!</v>
      </c>
      <c r="D80" s="442">
        <v>0.27500000000000002</v>
      </c>
      <c r="E80" s="443">
        <f t="shared" si="17"/>
        <v>1116682.23</v>
      </c>
      <c r="F80" s="444"/>
      <c r="G80" s="444">
        <f t="shared" si="18"/>
        <v>523.15</v>
      </c>
      <c r="H80" s="444">
        <v>523.70000000000005</v>
      </c>
      <c r="I80" s="445">
        <f t="shared" si="13"/>
        <v>1117856.2245073116</v>
      </c>
      <c r="J80" s="446" t="e">
        <f t="shared" si="14"/>
        <v>#REF!</v>
      </c>
      <c r="K80" s="446" t="e">
        <f t="shared" si="16"/>
        <v>#REF!</v>
      </c>
      <c r="L80" s="446" t="e">
        <f t="shared" si="19"/>
        <v>#REF!</v>
      </c>
      <c r="M80" s="465" t="e">
        <f t="shared" si="15"/>
        <v>#REF!</v>
      </c>
    </row>
    <row r="81" spans="1:13" ht="17.25" thickBot="1">
      <c r="A81" s="448"/>
      <c r="B81" s="450"/>
      <c r="C81" s="441"/>
      <c r="D81" s="442"/>
      <c r="E81" s="443"/>
      <c r="F81" s="444"/>
      <c r="G81" s="444"/>
      <c r="H81" s="444"/>
      <c r="I81" s="445"/>
      <c r="J81" s="446"/>
      <c r="K81" s="446"/>
      <c r="L81" s="446"/>
      <c r="M81" s="447"/>
    </row>
    <row r="82" spans="1:13" ht="13.5" thickBot="1">
      <c r="A82" s="451" t="s">
        <v>0</v>
      </c>
      <c r="B82" s="452"/>
      <c r="C82" s="452"/>
      <c r="D82" s="453"/>
      <c r="E82" s="454"/>
      <c r="F82" s="454"/>
      <c r="G82" s="454"/>
      <c r="H82" s="454"/>
      <c r="I82" s="455"/>
      <c r="J82" s="456"/>
      <c r="K82" s="456" t="e">
        <f>SUM(K71:K81)</f>
        <v>#REF!</v>
      </c>
      <c r="L82" s="456"/>
      <c r="M82" s="808" t="e">
        <f>SUM(M71:M81)</f>
        <v>#REF!</v>
      </c>
    </row>
    <row r="83" spans="1:13">
      <c r="A83" s="457"/>
      <c r="B83" s="457"/>
      <c r="C83" s="457"/>
      <c r="D83" s="458"/>
      <c r="E83" s="459"/>
      <c r="F83" s="459"/>
      <c r="G83" s="459"/>
      <c r="H83" s="459"/>
      <c r="I83" s="460"/>
      <c r="J83" s="461"/>
      <c r="K83" s="461"/>
      <c r="L83" s="461"/>
      <c r="M83" s="461"/>
    </row>
    <row r="84" spans="1:13">
      <c r="A84" s="457"/>
      <c r="B84" s="457"/>
      <c r="C84" s="457"/>
      <c r="D84" s="458"/>
      <c r="E84" s="459"/>
      <c r="F84" s="459"/>
      <c r="G84" s="459"/>
      <c r="H84" s="459"/>
      <c r="I84" s="460"/>
      <c r="J84" s="461"/>
      <c r="K84" s="461"/>
      <c r="L84" s="461"/>
      <c r="M84" s="461"/>
    </row>
    <row r="85" spans="1:13">
      <c r="A85" s="457"/>
      <c r="B85" s="457"/>
      <c r="C85" s="457"/>
      <c r="D85" s="458"/>
      <c r="E85" s="459"/>
      <c r="F85" s="459"/>
      <c r="G85" s="459"/>
      <c r="H85" s="459"/>
      <c r="I85" s="460"/>
      <c r="J85" s="461"/>
      <c r="K85" s="461"/>
      <c r="L85" s="461"/>
      <c r="M85" s="461"/>
    </row>
    <row r="86" spans="1:13">
      <c r="A86" s="457"/>
      <c r="B86" s="457"/>
      <c r="C86" s="457"/>
      <c r="D86" s="458"/>
      <c r="E86" s="459"/>
      <c r="F86" s="459"/>
      <c r="G86" s="459"/>
      <c r="H86" s="459"/>
      <c r="I86" s="460"/>
      <c r="J86" s="461"/>
      <c r="K86" s="461"/>
      <c r="L86" s="461"/>
      <c r="M86" s="461"/>
    </row>
    <row r="87" spans="1:13">
      <c r="A87" s="457"/>
      <c r="B87" s="457"/>
      <c r="C87" s="457"/>
      <c r="D87" s="458"/>
      <c r="E87" s="459"/>
      <c r="F87" s="459"/>
      <c r="G87" s="459"/>
      <c r="H87" s="459"/>
      <c r="I87" s="460"/>
      <c r="J87" s="461"/>
      <c r="K87" s="461"/>
      <c r="L87" s="461"/>
      <c r="M87" s="461"/>
    </row>
    <row r="88" spans="1:13" ht="17.25" thickBot="1">
      <c r="A88" s="416" t="s">
        <v>517</v>
      </c>
      <c r="B88" s="417"/>
      <c r="C88" s="412"/>
      <c r="D88" s="413"/>
      <c r="E88" s="412"/>
      <c r="F88" s="412"/>
      <c r="G88" s="412"/>
      <c r="H88" s="418"/>
      <c r="I88" s="412"/>
      <c r="J88" s="412"/>
      <c r="K88" s="414"/>
      <c r="L88" s="414"/>
      <c r="M88" s="414"/>
    </row>
    <row r="89" spans="1:13" ht="14.25" thickBot="1">
      <c r="A89" s="419" t="s">
        <v>402</v>
      </c>
      <c r="B89" s="420"/>
      <c r="C89" s="421" t="s">
        <v>384</v>
      </c>
      <c r="D89" s="422" t="s">
        <v>403</v>
      </c>
      <c r="E89" s="423" t="s">
        <v>404</v>
      </c>
      <c r="F89" s="421" t="s">
        <v>405</v>
      </c>
      <c r="G89" s="423" t="s">
        <v>381</v>
      </c>
      <c r="H89" s="423" t="s">
        <v>382</v>
      </c>
      <c r="I89" s="424" t="s">
        <v>406</v>
      </c>
      <c r="J89" s="425" t="s">
        <v>407</v>
      </c>
      <c r="K89" s="986" t="s">
        <v>408</v>
      </c>
      <c r="L89" s="426" t="s">
        <v>44</v>
      </c>
      <c r="M89" s="427" t="s">
        <v>409</v>
      </c>
    </row>
    <row r="90" spans="1:13" ht="27">
      <c r="A90" s="428" t="s">
        <v>38</v>
      </c>
      <c r="B90" s="429" t="s">
        <v>380</v>
      </c>
      <c r="C90" s="429" t="s">
        <v>410</v>
      </c>
      <c r="D90" s="430" t="s">
        <v>411</v>
      </c>
      <c r="E90" s="429" t="s">
        <v>412</v>
      </c>
      <c r="F90" s="429"/>
      <c r="G90" s="429" t="s">
        <v>519</v>
      </c>
      <c r="H90" s="429" t="s">
        <v>520</v>
      </c>
      <c r="I90" s="431" t="s">
        <v>413</v>
      </c>
      <c r="J90" s="432"/>
      <c r="K90" s="987"/>
      <c r="L90" s="433" t="s">
        <v>414</v>
      </c>
      <c r="M90" s="988" t="s">
        <v>415</v>
      </c>
    </row>
    <row r="91" spans="1:13" ht="14.25" thickBot="1">
      <c r="A91" s="434"/>
      <c r="B91" s="435"/>
      <c r="C91" s="435" t="s">
        <v>416</v>
      </c>
      <c r="D91" s="436" t="s">
        <v>417</v>
      </c>
      <c r="E91" s="435" t="s">
        <v>418</v>
      </c>
      <c r="F91" s="434" t="s">
        <v>419</v>
      </c>
      <c r="G91" s="435" t="s">
        <v>420</v>
      </c>
      <c r="H91" s="435" t="s">
        <v>421</v>
      </c>
      <c r="I91" s="437" t="s">
        <v>422</v>
      </c>
      <c r="J91" s="438" t="s">
        <v>423</v>
      </c>
      <c r="K91" s="438" t="s">
        <v>424</v>
      </c>
      <c r="L91" s="438" t="s">
        <v>425</v>
      </c>
      <c r="M91" s="989"/>
    </row>
    <row r="92" spans="1:13" ht="16.5">
      <c r="A92" s="439" t="s">
        <v>426</v>
      </c>
      <c r="B92" s="440">
        <v>42125</v>
      </c>
      <c r="C92" s="881">
        <v>0</v>
      </c>
      <c r="D92" s="464">
        <v>0.46400000000000002</v>
      </c>
      <c r="E92" s="443">
        <f>+'Amortz. Mat.2'!F84</f>
        <v>2058404.34</v>
      </c>
      <c r="F92" s="444" t="e">
        <f>+#REF!</f>
        <v>#REF!</v>
      </c>
      <c r="G92" s="444">
        <f>+'Amortz. Mat.2'!E87</f>
        <v>283.41000000000003</v>
      </c>
      <c r="H92" s="444">
        <v>248.68</v>
      </c>
      <c r="I92" s="445">
        <f t="shared" ref="I92:I101" si="20">+E92*H92/G92</f>
        <v>1806160.6551328464</v>
      </c>
      <c r="J92" s="446">
        <f t="shared" ref="J92:J101" si="21">+C92*D92</f>
        <v>0</v>
      </c>
      <c r="K92" s="446">
        <v>0</v>
      </c>
      <c r="L92" s="446">
        <f>+I92-K92</f>
        <v>1806160.6551328464</v>
      </c>
      <c r="M92" s="465" t="e">
        <f t="shared" ref="M92:M101" si="22">ROUND(+K92*(F92-G92)/H92,2)</f>
        <v>#REF!</v>
      </c>
    </row>
    <row r="93" spans="1:13" ht="16.5">
      <c r="A93" s="448" t="s">
        <v>8</v>
      </c>
      <c r="B93" s="449">
        <v>42156</v>
      </c>
      <c r="C93" s="881">
        <v>164401.63</v>
      </c>
      <c r="D93" s="442">
        <v>0.46400000000000002</v>
      </c>
      <c r="E93" s="443">
        <f>+E92</f>
        <v>2058404.34</v>
      </c>
      <c r="F93" s="444" t="e">
        <f>+#REF!</f>
        <v>#REF!</v>
      </c>
      <c r="G93" s="444">
        <f>+G92</f>
        <v>283.41000000000003</v>
      </c>
      <c r="H93" s="444">
        <v>248.68</v>
      </c>
      <c r="I93" s="445">
        <f t="shared" si="20"/>
        <v>1806160.6551328464</v>
      </c>
      <c r="J93" s="446">
        <f>+C93*D93</f>
        <v>76282.356320000006</v>
      </c>
      <c r="K93" s="446">
        <f t="shared" ref="K93:K101" si="23">+J93</f>
        <v>76282.356320000006</v>
      </c>
      <c r="L93" s="446">
        <f>+L92-K93</f>
        <v>1729878.2988128464</v>
      </c>
      <c r="M93" s="465" t="e">
        <f t="shared" si="22"/>
        <v>#REF!</v>
      </c>
    </row>
    <row r="94" spans="1:13" ht="16.5">
      <c r="A94" s="448" t="s">
        <v>427</v>
      </c>
      <c r="B94" s="449">
        <v>42186</v>
      </c>
      <c r="C94" s="881">
        <v>687429.65</v>
      </c>
      <c r="D94" s="442">
        <v>0.46400000000000002</v>
      </c>
      <c r="E94" s="443">
        <f t="shared" ref="E94:E101" si="24">+E93</f>
        <v>2058404.34</v>
      </c>
      <c r="F94" s="444" t="e">
        <f>+#REF!</f>
        <v>#REF!</v>
      </c>
      <c r="G94" s="444">
        <f t="shared" ref="G94:G101" si="25">+G93</f>
        <v>283.41000000000003</v>
      </c>
      <c r="H94" s="444">
        <v>248.68</v>
      </c>
      <c r="I94" s="445">
        <f t="shared" si="20"/>
        <v>1806160.6551328464</v>
      </c>
      <c r="J94" s="446">
        <f t="shared" si="21"/>
        <v>318967.35760000005</v>
      </c>
      <c r="K94" s="446">
        <f t="shared" si="23"/>
        <v>318967.35760000005</v>
      </c>
      <c r="L94" s="446">
        <f>+L93-K94</f>
        <v>1410910.9412128464</v>
      </c>
      <c r="M94" s="465" t="e">
        <f>ROUND(+K94*(F94-G94)/H94,2)</f>
        <v>#REF!</v>
      </c>
    </row>
    <row r="95" spans="1:13" ht="16.5">
      <c r="A95" s="448" t="s">
        <v>428</v>
      </c>
      <c r="B95" s="449">
        <v>42217</v>
      </c>
      <c r="C95" s="881">
        <v>600000</v>
      </c>
      <c r="D95" s="442">
        <v>0.46400000000000002</v>
      </c>
      <c r="E95" s="443">
        <f t="shared" si="24"/>
        <v>2058404.34</v>
      </c>
      <c r="F95" s="444" t="e">
        <f>+#REF!</f>
        <v>#REF!</v>
      </c>
      <c r="G95" s="444">
        <f t="shared" si="25"/>
        <v>283.41000000000003</v>
      </c>
      <c r="H95" s="444">
        <v>248.68</v>
      </c>
      <c r="I95" s="445">
        <f t="shared" si="20"/>
        <v>1806160.6551328464</v>
      </c>
      <c r="J95" s="446">
        <f t="shared" si="21"/>
        <v>278400</v>
      </c>
      <c r="K95" s="446">
        <f t="shared" si="23"/>
        <v>278400</v>
      </c>
      <c r="L95" s="446">
        <f t="shared" ref="L95:L101" si="26">+L94-K95</f>
        <v>1132510.9412128464</v>
      </c>
      <c r="M95" s="465" t="e">
        <f t="shared" si="22"/>
        <v>#REF!</v>
      </c>
    </row>
    <row r="96" spans="1:13" ht="16.5">
      <c r="A96" s="448" t="s">
        <v>429</v>
      </c>
      <c r="B96" s="449">
        <v>42248</v>
      </c>
      <c r="C96" s="851" t="e">
        <f>+#REF!</f>
        <v>#REF!</v>
      </c>
      <c r="D96" s="442">
        <v>0.46400000000000002</v>
      </c>
      <c r="E96" s="443">
        <f t="shared" si="24"/>
        <v>2058404.34</v>
      </c>
      <c r="F96" s="444" t="e">
        <f>+#REF!</f>
        <v>#REF!</v>
      </c>
      <c r="G96" s="444">
        <f t="shared" si="25"/>
        <v>283.41000000000003</v>
      </c>
      <c r="H96" s="444">
        <v>248.68</v>
      </c>
      <c r="I96" s="445">
        <f t="shared" si="20"/>
        <v>1806160.6551328464</v>
      </c>
      <c r="J96" s="446" t="e">
        <f t="shared" si="21"/>
        <v>#REF!</v>
      </c>
      <c r="K96" s="446">
        <v>0</v>
      </c>
      <c r="L96" s="446">
        <f t="shared" si="26"/>
        <v>1132510.9412128464</v>
      </c>
      <c r="M96" s="465" t="e">
        <f t="shared" si="22"/>
        <v>#REF!</v>
      </c>
    </row>
    <row r="97" spans="1:13" ht="16.5">
      <c r="A97" s="448" t="s">
        <v>445</v>
      </c>
      <c r="B97" s="449">
        <v>42278</v>
      </c>
      <c r="C97" s="851" t="e">
        <f>+#REF!</f>
        <v>#REF!</v>
      </c>
      <c r="D97" s="442">
        <v>0.46400000000000002</v>
      </c>
      <c r="E97" s="443">
        <f t="shared" si="24"/>
        <v>2058404.34</v>
      </c>
      <c r="F97" s="444" t="e">
        <f>+#REF!</f>
        <v>#REF!</v>
      </c>
      <c r="G97" s="444">
        <f t="shared" si="25"/>
        <v>283.41000000000003</v>
      </c>
      <c r="H97" s="444">
        <v>248.68</v>
      </c>
      <c r="I97" s="445">
        <f t="shared" si="20"/>
        <v>1806160.6551328464</v>
      </c>
      <c r="J97" s="446" t="e">
        <f t="shared" si="21"/>
        <v>#REF!</v>
      </c>
      <c r="K97" s="446">
        <f>+'Amortz. Mat.2'!H92</f>
        <v>606573.06000000006</v>
      </c>
      <c r="L97" s="446">
        <f t="shared" si="26"/>
        <v>525937.88121284638</v>
      </c>
      <c r="M97" s="465" t="e">
        <f t="shared" si="22"/>
        <v>#REF!</v>
      </c>
    </row>
    <row r="98" spans="1:13" ht="16.5">
      <c r="A98" s="448" t="s">
        <v>446</v>
      </c>
      <c r="B98" s="449">
        <v>42309</v>
      </c>
      <c r="C98" s="851" t="e">
        <f>+#REF!</f>
        <v>#REF!</v>
      </c>
      <c r="D98" s="442">
        <v>0.46400000000000002</v>
      </c>
      <c r="E98" s="443">
        <f t="shared" si="24"/>
        <v>2058404.34</v>
      </c>
      <c r="F98" s="444">
        <v>291.08</v>
      </c>
      <c r="G98" s="444">
        <f t="shared" si="25"/>
        <v>283.41000000000003</v>
      </c>
      <c r="H98" s="444">
        <v>248.68</v>
      </c>
      <c r="I98" s="445">
        <f t="shared" si="20"/>
        <v>1806160.6551328464</v>
      </c>
      <c r="J98" s="446" t="e">
        <f t="shared" si="21"/>
        <v>#REF!</v>
      </c>
      <c r="K98" s="446">
        <v>0</v>
      </c>
      <c r="L98" s="446">
        <f t="shared" si="26"/>
        <v>525937.88121284638</v>
      </c>
      <c r="M98" s="465">
        <f t="shared" si="22"/>
        <v>0</v>
      </c>
    </row>
    <row r="99" spans="1:13" ht="16.5">
      <c r="A99" s="448" t="s">
        <v>447</v>
      </c>
      <c r="B99" s="449">
        <v>42339</v>
      </c>
      <c r="C99" s="851" t="e">
        <f>+#REF!</f>
        <v>#REF!</v>
      </c>
      <c r="D99" s="442">
        <v>0.46400000000000002</v>
      </c>
      <c r="E99" s="443">
        <f t="shared" si="24"/>
        <v>2058404.34</v>
      </c>
      <c r="F99" s="444"/>
      <c r="G99" s="444">
        <f t="shared" si="25"/>
        <v>283.41000000000003</v>
      </c>
      <c r="H99" s="444">
        <v>248.68</v>
      </c>
      <c r="I99" s="445">
        <f t="shared" si="20"/>
        <v>1806160.6551328464</v>
      </c>
      <c r="J99" s="446" t="e">
        <f t="shared" si="21"/>
        <v>#REF!</v>
      </c>
      <c r="K99" s="446" t="e">
        <f t="shared" si="23"/>
        <v>#REF!</v>
      </c>
      <c r="L99" s="446" t="e">
        <f t="shared" si="26"/>
        <v>#REF!</v>
      </c>
      <c r="M99" s="465" t="e">
        <f t="shared" si="22"/>
        <v>#REF!</v>
      </c>
    </row>
    <row r="100" spans="1:13" ht="16.5">
      <c r="A100" s="448" t="s">
        <v>449</v>
      </c>
      <c r="B100" s="449">
        <v>42370</v>
      </c>
      <c r="C100" s="851" t="e">
        <f>+#REF!</f>
        <v>#REF!</v>
      </c>
      <c r="D100" s="442">
        <v>0.46400000000000002</v>
      </c>
      <c r="E100" s="443">
        <f t="shared" si="24"/>
        <v>2058404.34</v>
      </c>
      <c r="F100" s="444"/>
      <c r="G100" s="444">
        <f t="shared" si="25"/>
        <v>283.41000000000003</v>
      </c>
      <c r="H100" s="444">
        <v>248.68</v>
      </c>
      <c r="I100" s="445">
        <f t="shared" si="20"/>
        <v>1806160.6551328464</v>
      </c>
      <c r="J100" s="446" t="e">
        <f t="shared" si="21"/>
        <v>#REF!</v>
      </c>
      <c r="K100" s="446" t="e">
        <f t="shared" si="23"/>
        <v>#REF!</v>
      </c>
      <c r="L100" s="446" t="e">
        <f t="shared" si="26"/>
        <v>#REF!</v>
      </c>
      <c r="M100" s="465" t="e">
        <f t="shared" si="22"/>
        <v>#REF!</v>
      </c>
    </row>
    <row r="101" spans="1:13" ht="16.5">
      <c r="A101" s="448" t="s">
        <v>457</v>
      </c>
      <c r="B101" s="449">
        <v>42401</v>
      </c>
      <c r="C101" s="851" t="e">
        <f>+#REF!</f>
        <v>#REF!</v>
      </c>
      <c r="D101" s="442">
        <v>0.46400000000000002</v>
      </c>
      <c r="E101" s="443">
        <f t="shared" si="24"/>
        <v>2058404.34</v>
      </c>
      <c r="F101" s="444"/>
      <c r="G101" s="444">
        <f t="shared" si="25"/>
        <v>283.41000000000003</v>
      </c>
      <c r="H101" s="444">
        <v>248.68</v>
      </c>
      <c r="I101" s="445">
        <f t="shared" si="20"/>
        <v>1806160.6551328464</v>
      </c>
      <c r="J101" s="446" t="e">
        <f t="shared" si="21"/>
        <v>#REF!</v>
      </c>
      <c r="K101" s="446" t="e">
        <f t="shared" si="23"/>
        <v>#REF!</v>
      </c>
      <c r="L101" s="446" t="e">
        <f t="shared" si="26"/>
        <v>#REF!</v>
      </c>
      <c r="M101" s="465" t="e">
        <f t="shared" si="22"/>
        <v>#REF!</v>
      </c>
    </row>
    <row r="102" spans="1:13" ht="17.25" thickBot="1">
      <c r="A102" s="448"/>
      <c r="B102" s="450"/>
      <c r="C102" s="441"/>
      <c r="D102" s="442"/>
      <c r="E102" s="443"/>
      <c r="F102" s="444"/>
      <c r="G102" s="444"/>
      <c r="H102" s="444"/>
      <c r="I102" s="445"/>
      <c r="J102" s="446"/>
      <c r="K102" s="446"/>
      <c r="L102" s="446"/>
      <c r="M102" s="447"/>
    </row>
    <row r="103" spans="1:13" ht="13.5" thickBot="1">
      <c r="A103" s="451" t="s">
        <v>0</v>
      </c>
      <c r="B103" s="452"/>
      <c r="C103" s="452"/>
      <c r="D103" s="453"/>
      <c r="E103" s="454"/>
      <c r="F103" s="454"/>
      <c r="G103" s="454"/>
      <c r="H103" s="454"/>
      <c r="I103" s="455"/>
      <c r="J103" s="456"/>
      <c r="K103" s="456" t="e">
        <f>SUM(K92:K102)</f>
        <v>#REF!</v>
      </c>
      <c r="L103" s="456"/>
      <c r="M103" s="808" t="e">
        <f>SUM(M92:M102)</f>
        <v>#REF!</v>
      </c>
    </row>
    <row r="104" spans="1:13">
      <c r="A104" s="457"/>
      <c r="B104" s="457"/>
      <c r="C104" s="457"/>
      <c r="D104" s="458"/>
      <c r="E104" s="459"/>
      <c r="F104" s="459"/>
      <c r="G104" s="459"/>
      <c r="H104" s="459"/>
      <c r="I104" s="460"/>
      <c r="J104" s="461"/>
      <c r="K104" s="461"/>
      <c r="L104" s="461"/>
      <c r="M104" s="461"/>
    </row>
    <row r="105" spans="1:13" ht="13.5" thickBo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9.5" thickBot="1">
      <c r="A106" s="34"/>
      <c r="B106" s="34"/>
      <c r="C106" s="34"/>
      <c r="D106" s="34"/>
      <c r="E106" s="34"/>
      <c r="F106" s="34"/>
      <c r="G106" s="34"/>
      <c r="H106" s="34"/>
      <c r="I106" s="34"/>
      <c r="J106" s="688" t="s">
        <v>456</v>
      </c>
      <c r="K106" s="689"/>
      <c r="L106" s="687"/>
      <c r="M106" s="693" t="e">
        <f>+M46+M65+M82+M103</f>
        <v>#REF!</v>
      </c>
    </row>
    <row r="107" spans="1:1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8">
      <c r="A112" s="34"/>
      <c r="B112" s="34"/>
      <c r="C112" s="34"/>
      <c r="D112" s="34"/>
      <c r="E112" s="34"/>
      <c r="F112" s="990" t="s">
        <v>454</v>
      </c>
      <c r="G112" s="990"/>
      <c r="H112" s="990"/>
      <c r="I112" s="990"/>
      <c r="J112" s="469"/>
      <c r="K112" s="469"/>
      <c r="L112" s="469"/>
      <c r="M112" s="469"/>
    </row>
    <row r="113" spans="1:13" ht="18">
      <c r="A113" s="34"/>
      <c r="B113" s="34"/>
      <c r="C113" s="34"/>
      <c r="D113" s="34"/>
      <c r="E113" s="34"/>
      <c r="F113" s="685"/>
      <c r="G113" s="685"/>
      <c r="H113" s="685"/>
      <c r="I113" s="685"/>
      <c r="J113" s="469"/>
      <c r="K113" s="469"/>
      <c r="L113" s="469"/>
      <c r="M113" s="469"/>
    </row>
    <row r="114" spans="1:13" ht="18">
      <c r="A114" s="34"/>
      <c r="B114" s="34"/>
      <c r="C114" s="34"/>
      <c r="D114" s="34"/>
      <c r="E114" s="34"/>
      <c r="F114" s="685"/>
      <c r="G114" s="685"/>
      <c r="H114" s="685"/>
      <c r="I114" s="685"/>
      <c r="J114" s="469"/>
      <c r="K114" s="469"/>
      <c r="L114" s="469"/>
      <c r="M114" s="469"/>
    </row>
    <row r="115" spans="1:13" ht="18.75" thickBot="1">
      <c r="A115" s="34"/>
      <c r="B115" s="34"/>
      <c r="C115" s="34"/>
      <c r="D115" s="34"/>
      <c r="E115" s="34"/>
      <c r="I115" s="21"/>
      <c r="J115" s="511"/>
      <c r="K115" s="511"/>
      <c r="L115" s="511"/>
      <c r="M115" s="511"/>
    </row>
    <row r="116" spans="1:13" ht="19.5" thickBot="1">
      <c r="A116" s="34"/>
      <c r="B116" s="34"/>
      <c r="C116" s="34"/>
      <c r="D116" s="34"/>
      <c r="E116" s="34"/>
      <c r="F116" s="688" t="s">
        <v>455</v>
      </c>
      <c r="G116" s="690"/>
      <c r="H116" s="689"/>
      <c r="I116" s="979" t="s">
        <v>370</v>
      </c>
      <c r="J116" s="980"/>
      <c r="K116" s="981"/>
      <c r="L116" s="981"/>
      <c r="M116" s="488"/>
    </row>
    <row r="117" spans="1:13" ht="16.5">
      <c r="A117" s="34"/>
      <c r="B117" s="34"/>
      <c r="C117" s="34"/>
      <c r="D117" s="34"/>
      <c r="E117" s="34"/>
      <c r="F117" s="649" t="s">
        <v>38</v>
      </c>
      <c r="G117" s="650" t="s">
        <v>4</v>
      </c>
      <c r="H117" s="680" t="s">
        <v>64</v>
      </c>
      <c r="I117" s="651"/>
      <c r="J117" s="652"/>
      <c r="K117" s="149"/>
      <c r="L117" s="149"/>
      <c r="M117" s="488"/>
    </row>
    <row r="118" spans="1:13" ht="17.25" thickBot="1">
      <c r="A118" s="34"/>
      <c r="B118" s="34"/>
      <c r="C118" s="34"/>
      <c r="D118" s="34"/>
      <c r="E118" s="34"/>
      <c r="F118" s="653"/>
      <c r="G118" s="654"/>
      <c r="H118" s="681"/>
      <c r="I118" s="655" t="s">
        <v>4</v>
      </c>
      <c r="J118" s="656" t="s">
        <v>15</v>
      </c>
      <c r="K118" s="503"/>
      <c r="L118" s="504"/>
      <c r="M118" s="488"/>
    </row>
    <row r="119" spans="1:13" ht="16.5">
      <c r="F119" s="869">
        <v>1</v>
      </c>
      <c r="G119" s="870">
        <v>42125</v>
      </c>
      <c r="H119" s="675">
        <v>0</v>
      </c>
      <c r="I119" s="871" t="e">
        <f t="shared" ref="I119:I125" si="27">+M35+M54+M71+M92</f>
        <v>#REF!</v>
      </c>
      <c r="J119" s="872" t="e">
        <f>+I119</f>
        <v>#REF!</v>
      </c>
      <c r="K119" s="492"/>
      <c r="L119" s="679"/>
      <c r="M119" s="679"/>
    </row>
    <row r="120" spans="1:13" ht="16.5">
      <c r="F120" s="873">
        <v>2</v>
      </c>
      <c r="G120" s="449">
        <v>42156</v>
      </c>
      <c r="H120" s="676">
        <v>0</v>
      </c>
      <c r="I120" s="871" t="e">
        <f t="shared" si="27"/>
        <v>#REF!</v>
      </c>
      <c r="J120" s="874" t="e">
        <f t="shared" ref="J120:J128" si="28">+J119+I120</f>
        <v>#REF!</v>
      </c>
      <c r="K120" s="492"/>
      <c r="L120" s="679"/>
      <c r="M120" s="129"/>
    </row>
    <row r="121" spans="1:13" ht="16.5">
      <c r="F121" s="873">
        <v>3</v>
      </c>
      <c r="G121" s="449">
        <v>42186</v>
      </c>
      <c r="H121" s="676">
        <v>0</v>
      </c>
      <c r="I121" s="871" t="e">
        <f t="shared" si="27"/>
        <v>#REF!</v>
      </c>
      <c r="J121" s="874" t="e">
        <f t="shared" si="28"/>
        <v>#REF!</v>
      </c>
      <c r="K121" s="492"/>
      <c r="L121" s="679"/>
      <c r="M121" s="129"/>
    </row>
    <row r="122" spans="1:13" ht="16.5">
      <c r="F122" s="873">
        <v>4</v>
      </c>
      <c r="G122" s="449">
        <v>42217</v>
      </c>
      <c r="H122" s="868">
        <v>4029.27</v>
      </c>
      <c r="I122" s="871" t="e">
        <f t="shared" si="27"/>
        <v>#REF!</v>
      </c>
      <c r="J122" s="874" t="e">
        <f t="shared" si="28"/>
        <v>#REF!</v>
      </c>
      <c r="K122" s="492"/>
      <c r="L122" s="679"/>
      <c r="M122" s="129"/>
    </row>
    <row r="123" spans="1:13" ht="16.5">
      <c r="F123" s="873">
        <v>5</v>
      </c>
      <c r="G123" s="449">
        <v>42248</v>
      </c>
      <c r="H123" s="868">
        <v>26547.909999999996</v>
      </c>
      <c r="I123" s="871" t="e">
        <f t="shared" si="27"/>
        <v>#REF!</v>
      </c>
      <c r="J123" s="874" t="e">
        <f t="shared" si="28"/>
        <v>#REF!</v>
      </c>
      <c r="K123" s="492"/>
      <c r="L123" s="679"/>
      <c r="M123" s="129"/>
    </row>
    <row r="124" spans="1:13" ht="16.5">
      <c r="F124" s="873">
        <v>6</v>
      </c>
      <c r="G124" s="449">
        <v>42278</v>
      </c>
      <c r="H124" s="883">
        <v>12467.619999999999</v>
      </c>
      <c r="I124" s="871" t="e">
        <f t="shared" si="27"/>
        <v>#REF!</v>
      </c>
      <c r="J124" s="874" t="e">
        <f t="shared" si="28"/>
        <v>#REF!</v>
      </c>
      <c r="K124" s="492"/>
      <c r="L124" s="679"/>
      <c r="M124" s="129"/>
    </row>
    <row r="125" spans="1:13" ht="16.5">
      <c r="F125" s="873">
        <v>7</v>
      </c>
      <c r="G125" s="449">
        <v>42309</v>
      </c>
      <c r="H125" s="676"/>
      <c r="I125" s="871">
        <f t="shared" si="27"/>
        <v>0</v>
      </c>
      <c r="J125" s="874" t="e">
        <f t="shared" si="28"/>
        <v>#REF!</v>
      </c>
      <c r="K125" s="492"/>
      <c r="L125" s="679"/>
      <c r="M125" s="129"/>
    </row>
    <row r="126" spans="1:13" ht="16.5">
      <c r="F126" s="873">
        <v>8</v>
      </c>
      <c r="G126" s="449">
        <v>42339</v>
      </c>
      <c r="H126" s="676"/>
      <c r="I126" s="871"/>
      <c r="J126" s="874" t="e">
        <f t="shared" si="28"/>
        <v>#REF!</v>
      </c>
      <c r="K126" s="492"/>
      <c r="L126" s="679"/>
      <c r="M126" s="129"/>
    </row>
    <row r="127" spans="1:13" ht="16.5">
      <c r="F127" s="873">
        <v>9</v>
      </c>
      <c r="G127" s="449">
        <v>42370</v>
      </c>
      <c r="H127" s="676"/>
      <c r="I127" s="871"/>
      <c r="J127" s="874" t="e">
        <f t="shared" si="28"/>
        <v>#REF!</v>
      </c>
      <c r="K127" s="492"/>
      <c r="L127" s="679"/>
      <c r="M127" s="129"/>
    </row>
    <row r="128" spans="1:13" ht="16.5">
      <c r="F128" s="873">
        <v>10</v>
      </c>
      <c r="G128" s="449">
        <v>42401</v>
      </c>
      <c r="H128" s="676"/>
      <c r="I128" s="871"/>
      <c r="J128" s="874" t="e">
        <f t="shared" si="28"/>
        <v>#REF!</v>
      </c>
      <c r="K128" s="492"/>
      <c r="L128" s="679"/>
      <c r="M128" s="129"/>
    </row>
    <row r="129" spans="4:14" ht="17.25" thickBot="1">
      <c r="F129" s="657"/>
      <c r="G129" s="658"/>
      <c r="H129" s="677"/>
      <c r="I129" s="683"/>
      <c r="J129" s="684"/>
      <c r="K129" s="191"/>
      <c r="L129" s="191"/>
      <c r="M129" s="506"/>
    </row>
    <row r="130" spans="4:14" ht="17.25" thickBot="1">
      <c r="F130" s="875"/>
      <c r="G130" s="876"/>
      <c r="H130" s="877">
        <f>SUM(H119:H129)</f>
        <v>43044.799999999996</v>
      </c>
      <c r="I130" s="678" t="e">
        <f>SUM(I119:I129)</f>
        <v>#REF!</v>
      </c>
      <c r="J130" s="682"/>
      <c r="K130" s="507"/>
      <c r="L130" s="647"/>
      <c r="M130" s="648"/>
    </row>
    <row r="131" spans="4:14">
      <c r="L131" s="878"/>
    </row>
    <row r="132" spans="4:14" ht="13.5" thickBot="1">
      <c r="L132" s="879"/>
    </row>
    <row r="133" spans="4:14" ht="24.75" customHeight="1" thickBot="1">
      <c r="E133" s="665" t="s">
        <v>444</v>
      </c>
      <c r="F133" s="666"/>
      <c r="G133" s="666"/>
      <c r="H133" s="667"/>
      <c r="I133" s="521" t="s">
        <v>9</v>
      </c>
      <c r="J133" s="694" t="e">
        <f>+M106</f>
        <v>#REF!</v>
      </c>
      <c r="K133" s="671"/>
      <c r="L133" s="131"/>
      <c r="M133" s="660"/>
      <c r="N133" s="30"/>
    </row>
    <row r="134" spans="4:14" ht="24.75" customHeight="1" thickBot="1">
      <c r="D134" s="668"/>
      <c r="E134" s="665" t="s">
        <v>440</v>
      </c>
      <c r="F134" s="669"/>
      <c r="G134" s="669"/>
      <c r="H134" s="670"/>
      <c r="I134" s="523" t="s">
        <v>9</v>
      </c>
      <c r="J134" s="695">
        <f>+H130</f>
        <v>43044.799999999996</v>
      </c>
      <c r="K134" s="672"/>
      <c r="L134" s="131"/>
      <c r="M134" s="660"/>
      <c r="N134" s="30"/>
    </row>
    <row r="135" spans="4:14" ht="24.75" customHeight="1" thickBot="1">
      <c r="D135" s="30"/>
      <c r="E135" s="664"/>
      <c r="F135" s="686"/>
      <c r="G135" s="686"/>
      <c r="H135" s="686"/>
      <c r="I135" s="521"/>
      <c r="J135" s="521"/>
      <c r="K135" s="671"/>
      <c r="L135" s="131"/>
      <c r="M135" s="660"/>
      <c r="N135" s="30"/>
    </row>
    <row r="136" spans="4:14" ht="24.75" customHeight="1" thickBot="1">
      <c r="E136" s="661" t="s">
        <v>528</v>
      </c>
      <c r="F136" s="662"/>
      <c r="G136" s="663"/>
      <c r="H136" s="663"/>
      <c r="I136" s="521" t="s">
        <v>9</v>
      </c>
      <c r="J136" s="882" t="e">
        <f>+J133-J134</f>
        <v>#REF!</v>
      </c>
      <c r="K136" s="673"/>
      <c r="L136" s="497"/>
      <c r="M136" s="497"/>
      <c r="N136" s="30"/>
    </row>
    <row r="137" spans="4:14">
      <c r="G137" s="321"/>
      <c r="H137" s="537"/>
      <c r="I137" s="537"/>
      <c r="J137" s="537"/>
      <c r="K137" s="674"/>
      <c r="L137" s="329"/>
      <c r="M137" s="128"/>
      <c r="N137" s="329"/>
    </row>
    <row r="138" spans="4:14">
      <c r="G138" s="321"/>
      <c r="H138" s="321"/>
      <c r="I138" s="321"/>
      <c r="J138" s="321"/>
      <c r="K138" s="321"/>
      <c r="L138" s="329"/>
      <c r="M138" s="128"/>
      <c r="N138" s="329"/>
    </row>
    <row r="139" spans="4:14">
      <c r="G139" s="321"/>
      <c r="H139" s="321"/>
      <c r="I139" s="321"/>
      <c r="J139" s="321"/>
      <c r="K139" s="321"/>
      <c r="L139" s="329"/>
      <c r="M139" s="128"/>
      <c r="N139" s="329"/>
    </row>
  </sheetData>
  <mergeCells count="15">
    <mergeCell ref="D1:L1"/>
    <mergeCell ref="I116:J116"/>
    <mergeCell ref="K116:L116"/>
    <mergeCell ref="A10:M10"/>
    <mergeCell ref="A11:M11"/>
    <mergeCell ref="A26:M26"/>
    <mergeCell ref="K32:K33"/>
    <mergeCell ref="M33:M34"/>
    <mergeCell ref="K51:K52"/>
    <mergeCell ref="M52:M53"/>
    <mergeCell ref="K68:K69"/>
    <mergeCell ref="M69:M70"/>
    <mergeCell ref="K89:K90"/>
    <mergeCell ref="M90:M91"/>
    <mergeCell ref="F112:I112"/>
  </mergeCells>
  <printOptions horizontalCentered="1"/>
  <pageMargins left="0.6" right="0.19685039370078741" top="0.65" bottom="0.39370078740157483" header="0" footer="0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</sheetPr>
  <dimension ref="A1:U75"/>
  <sheetViews>
    <sheetView showGridLines="0" topLeftCell="A35" zoomScaleNormal="100" workbookViewId="0">
      <selection activeCell="AB206" sqref="AB206"/>
    </sheetView>
  </sheetViews>
  <sheetFormatPr baseColWidth="10" defaultRowHeight="12.75"/>
  <cols>
    <col min="1" max="1" width="3.28515625" style="321" customWidth="1"/>
    <col min="2" max="2" width="16.28515625" style="321" customWidth="1"/>
    <col min="3" max="3" width="11.140625" style="321" customWidth="1"/>
    <col min="4" max="4" width="15" style="321" customWidth="1"/>
    <col min="5" max="5" width="11.140625" style="321" customWidth="1"/>
    <col min="6" max="6" width="11.42578125" style="321" customWidth="1"/>
    <col min="7" max="7" width="6.42578125" style="321" customWidth="1"/>
    <col min="8" max="8" width="10" style="321" customWidth="1"/>
    <col min="9" max="9" width="10.5703125" style="321" customWidth="1"/>
    <col min="10" max="10" width="12.140625" style="321" customWidth="1"/>
    <col min="11" max="11" width="10.28515625" style="321" customWidth="1"/>
    <col min="12" max="12" width="11.85546875" style="321" customWidth="1"/>
    <col min="13" max="13" width="10.28515625" style="321" customWidth="1"/>
    <col min="14" max="14" width="9.28515625" style="321" customWidth="1"/>
    <col min="15" max="15" width="11.42578125" style="321"/>
    <col min="16" max="16" width="10.28515625" style="321" customWidth="1"/>
    <col min="17" max="17" width="13.85546875" style="321" bestFit="1" customWidth="1"/>
    <col min="18" max="18" width="12" style="321" customWidth="1"/>
    <col min="19" max="16384" width="11.42578125" style="321"/>
  </cols>
  <sheetData>
    <row r="1" spans="1:21">
      <c r="A1" s="10" t="s">
        <v>42</v>
      </c>
      <c r="B1" s="11"/>
      <c r="C1" s="11" t="s">
        <v>39</v>
      </c>
      <c r="D1" s="11" t="e">
        <f>+#REF!</f>
        <v>#REF!</v>
      </c>
      <c r="E1" s="11"/>
      <c r="F1" s="322"/>
      <c r="G1" s="322"/>
      <c r="H1" s="323"/>
      <c r="I1" s="322"/>
    </row>
    <row r="2" spans="1:21">
      <c r="A2" s="11" t="s">
        <v>32</v>
      </c>
      <c r="B2" s="11"/>
      <c r="C2" s="11" t="s">
        <v>39</v>
      </c>
      <c r="D2" s="11" t="e">
        <f>+#REF!</f>
        <v>#REF!</v>
      </c>
      <c r="E2" s="11"/>
      <c r="F2" s="322"/>
      <c r="G2" s="322"/>
      <c r="H2" s="323"/>
      <c r="I2" s="322"/>
    </row>
    <row r="3" spans="1:21">
      <c r="A3" s="11" t="s">
        <v>40</v>
      </c>
      <c r="B3" s="11"/>
      <c r="C3" s="11" t="s">
        <v>39</v>
      </c>
      <c r="D3" s="11" t="e">
        <f>+#REF!</f>
        <v>#REF!</v>
      </c>
      <c r="E3" s="11"/>
      <c r="F3" s="322"/>
      <c r="G3" s="322"/>
      <c r="H3" s="323"/>
      <c r="I3" s="323"/>
    </row>
    <row r="4" spans="1:21">
      <c r="A4" s="11" t="s">
        <v>33</v>
      </c>
      <c r="B4" s="11"/>
      <c r="C4" s="11" t="s">
        <v>39</v>
      </c>
      <c r="D4" s="11" t="e">
        <f>+#REF!</f>
        <v>#REF!</v>
      </c>
      <c r="E4" s="11"/>
      <c r="F4" s="322"/>
      <c r="G4" s="322"/>
      <c r="H4" s="323"/>
      <c r="I4" s="323"/>
    </row>
    <row r="5" spans="1:21">
      <c r="A5" s="11" t="s">
        <v>23</v>
      </c>
      <c r="B5" s="11"/>
      <c r="C5" s="11" t="s">
        <v>39</v>
      </c>
      <c r="D5" s="11" t="e">
        <f>+#REF!</f>
        <v>#REF!</v>
      </c>
      <c r="E5" s="11"/>
      <c r="F5" s="322"/>
      <c r="G5" s="322"/>
      <c r="H5" s="323"/>
      <c r="I5" s="323"/>
    </row>
    <row r="6" spans="1:21">
      <c r="A6" s="11" t="s">
        <v>41</v>
      </c>
      <c r="B6" s="11"/>
      <c r="C6" s="11" t="s">
        <v>39</v>
      </c>
      <c r="D6" s="11" t="e">
        <f>+#REF!</f>
        <v>#REF!</v>
      </c>
      <c r="E6" s="11"/>
      <c r="F6" s="322"/>
      <c r="G6" s="322"/>
      <c r="H6" s="323"/>
      <c r="I6" s="323"/>
      <c r="J6" s="324"/>
      <c r="K6" s="324"/>
      <c r="L6" s="324"/>
      <c r="M6" s="330"/>
    </row>
    <row r="7" spans="1:21">
      <c r="A7" s="11" t="s">
        <v>66</v>
      </c>
      <c r="B7" s="11"/>
      <c r="C7" s="11" t="s">
        <v>39</v>
      </c>
      <c r="D7" s="35" t="e">
        <f>+#REF!</f>
        <v>#REF!</v>
      </c>
      <c r="E7" s="32"/>
      <c r="F7" s="322"/>
      <c r="G7" s="322"/>
      <c r="H7" s="323"/>
      <c r="I7" s="323"/>
      <c r="J7" s="324"/>
      <c r="K7" s="324"/>
      <c r="L7" s="324"/>
      <c r="M7" s="330"/>
    </row>
    <row r="8" spans="1:21">
      <c r="A8" s="325" t="s">
        <v>453</v>
      </c>
      <c r="B8" s="325"/>
      <c r="C8" s="11" t="s">
        <v>39</v>
      </c>
      <c r="D8" s="35" t="e">
        <f>+D7/1.18</f>
        <v>#REF!</v>
      </c>
      <c r="E8" s="33"/>
      <c r="F8" s="1"/>
      <c r="G8" s="1"/>
      <c r="H8" s="1"/>
      <c r="I8" s="5"/>
      <c r="J8" s="324"/>
      <c r="K8" s="324"/>
      <c r="L8" s="324"/>
      <c r="M8" s="330"/>
    </row>
    <row r="9" spans="1:21">
      <c r="A9" s="5"/>
      <c r="B9" s="5"/>
      <c r="C9" s="5"/>
      <c r="D9" s="5"/>
      <c r="E9" s="14"/>
      <c r="F9" s="11"/>
      <c r="G9" s="324"/>
      <c r="H9" s="324"/>
      <c r="I9" s="324"/>
      <c r="J9" s="324"/>
      <c r="K9" s="324"/>
      <c r="L9" s="324"/>
      <c r="M9" s="330"/>
    </row>
    <row r="10" spans="1:21">
      <c r="A10" s="5"/>
      <c r="B10" s="5"/>
      <c r="C10" s="5"/>
      <c r="D10" s="5"/>
      <c r="E10" s="14"/>
      <c r="F10" s="11"/>
      <c r="G10" s="324"/>
      <c r="H10" s="324"/>
      <c r="I10" s="324"/>
      <c r="J10" s="324"/>
      <c r="K10" s="324"/>
      <c r="L10" s="324"/>
      <c r="M10" s="330"/>
    </row>
    <row r="12" spans="1:21" ht="18">
      <c r="A12" s="992" t="s">
        <v>63</v>
      </c>
      <c r="B12" s="992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330"/>
      <c r="R12" s="330"/>
      <c r="S12" s="330"/>
      <c r="T12" s="330"/>
      <c r="U12" s="330"/>
    </row>
    <row r="13" spans="1:21" ht="18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330"/>
      <c r="R13" s="330"/>
      <c r="S13" s="330"/>
      <c r="T13" s="330"/>
      <c r="U13" s="330"/>
    </row>
    <row r="14" spans="1:21" ht="18">
      <c r="A14" s="469"/>
      <c r="B14" s="469"/>
      <c r="C14" s="469"/>
      <c r="D14" s="469"/>
      <c r="E14" s="993" t="s">
        <v>437</v>
      </c>
      <c r="F14" s="993"/>
      <c r="G14" s="993"/>
      <c r="H14" s="993"/>
      <c r="I14" s="469"/>
      <c r="J14" s="469"/>
      <c r="K14" s="469"/>
      <c r="L14" s="469"/>
      <c r="M14" s="469"/>
      <c r="N14" s="469"/>
      <c r="O14" s="469"/>
      <c r="P14" s="469"/>
      <c r="Q14" s="330"/>
      <c r="R14" s="330"/>
      <c r="S14" s="330"/>
      <c r="T14" s="330"/>
      <c r="U14" s="330"/>
    </row>
    <row r="15" spans="1:21" ht="10.5" customHeight="1" thickBot="1">
      <c r="A15" s="511"/>
      <c r="B15" s="511"/>
      <c r="C15" s="511"/>
      <c r="D15" s="511"/>
      <c r="E15" s="515"/>
      <c r="F15" s="21"/>
      <c r="G15" s="21"/>
      <c r="H15" s="21"/>
      <c r="I15" s="511"/>
      <c r="J15" s="511"/>
      <c r="K15" s="511"/>
      <c r="L15" s="511"/>
      <c r="M15" s="511"/>
      <c r="N15" s="511"/>
      <c r="O15" s="511"/>
      <c r="P15" s="511"/>
      <c r="Q15" s="330"/>
      <c r="R15" s="330"/>
      <c r="S15" s="330"/>
      <c r="T15" s="330"/>
      <c r="U15" s="330"/>
    </row>
    <row r="16" spans="1:21">
      <c r="A16" s="159"/>
      <c r="B16" s="159"/>
      <c r="C16" s="502"/>
      <c r="D16" s="502"/>
      <c r="E16" s="498"/>
      <c r="F16" s="139"/>
      <c r="G16" s="498"/>
      <c r="H16" s="994" t="s">
        <v>448</v>
      </c>
      <c r="I16" s="995"/>
      <c r="J16" s="994" t="s">
        <v>37</v>
      </c>
      <c r="K16" s="995"/>
      <c r="L16" s="143" t="s">
        <v>0</v>
      </c>
      <c r="M16" s="502"/>
      <c r="N16" s="981"/>
      <c r="O16" s="981"/>
      <c r="P16" s="488"/>
      <c r="Q16" s="324"/>
      <c r="R16" s="330"/>
      <c r="S16" s="330"/>
      <c r="T16" s="330"/>
      <c r="U16" s="330"/>
    </row>
    <row r="17" spans="1:21">
      <c r="A17" s="488"/>
      <c r="B17" s="488"/>
      <c r="C17" s="488"/>
      <c r="D17" s="488"/>
      <c r="E17" s="153" t="s">
        <v>38</v>
      </c>
      <c r="F17" s="145" t="s">
        <v>11</v>
      </c>
      <c r="G17" s="153"/>
      <c r="H17" s="146"/>
      <c r="I17" s="150"/>
      <c r="J17" s="151"/>
      <c r="K17" s="519"/>
      <c r="L17" s="153" t="s">
        <v>35</v>
      </c>
      <c r="M17" s="488"/>
      <c r="N17" s="149"/>
      <c r="O17" s="149"/>
      <c r="P17" s="488"/>
      <c r="Q17" s="324"/>
      <c r="R17" s="330"/>
      <c r="S17" s="330"/>
      <c r="T17" s="330"/>
      <c r="U17" s="330"/>
    </row>
    <row r="18" spans="1:21" ht="14.25" thickBot="1">
      <c r="A18" s="159"/>
      <c r="B18" s="159"/>
      <c r="C18" s="489"/>
      <c r="D18" s="489"/>
      <c r="E18" s="508"/>
      <c r="F18" s="155"/>
      <c r="G18" s="508"/>
      <c r="H18" s="164" t="s">
        <v>4</v>
      </c>
      <c r="I18" s="165" t="s">
        <v>15</v>
      </c>
      <c r="J18" s="166" t="s">
        <v>36</v>
      </c>
      <c r="K18" s="520" t="s">
        <v>6</v>
      </c>
      <c r="L18" s="168" t="s">
        <v>18</v>
      </c>
      <c r="M18" s="488"/>
      <c r="N18" s="503"/>
      <c r="O18" s="504"/>
      <c r="P18" s="488"/>
      <c r="Q18" s="324"/>
      <c r="R18" s="330"/>
      <c r="S18" s="330"/>
      <c r="T18" s="330"/>
      <c r="U18" s="330"/>
    </row>
    <row r="19" spans="1:21">
      <c r="A19" s="490"/>
      <c r="B19" s="491"/>
      <c r="C19" s="492"/>
      <c r="D19" s="493"/>
      <c r="E19" s="499">
        <v>1</v>
      </c>
      <c r="F19" s="132">
        <v>41487</v>
      </c>
      <c r="G19" s="499"/>
      <c r="H19" s="170">
        <v>15372.69</v>
      </c>
      <c r="I19" s="509">
        <f>+H19</f>
        <v>15372.69</v>
      </c>
      <c r="J19" s="170">
        <v>0</v>
      </c>
      <c r="K19" s="594">
        <v>0</v>
      </c>
      <c r="L19" s="528">
        <f t="shared" ref="L19:L25" si="0">+J19+K19</f>
        <v>0</v>
      </c>
      <c r="M19" s="492"/>
      <c r="N19" s="492"/>
      <c r="O19" s="179"/>
      <c r="P19" s="505"/>
      <c r="Q19" s="324"/>
      <c r="R19" s="330"/>
      <c r="S19" s="330"/>
      <c r="T19" s="330"/>
      <c r="U19" s="330"/>
    </row>
    <row r="20" spans="1:21">
      <c r="A20" s="490"/>
      <c r="B20" s="491"/>
      <c r="C20" s="492"/>
      <c r="D20" s="493"/>
      <c r="E20" s="500">
        <v>2</v>
      </c>
      <c r="F20" s="466">
        <v>41518</v>
      </c>
      <c r="G20" s="500"/>
      <c r="H20" s="174">
        <v>26268.51</v>
      </c>
      <c r="I20" s="182">
        <f t="shared" ref="I20:I26" si="1">+I19+H20</f>
        <v>41641.199999999997</v>
      </c>
      <c r="J20" s="174">
        <v>0</v>
      </c>
      <c r="K20" s="595">
        <v>0</v>
      </c>
      <c r="L20" s="529">
        <f t="shared" si="0"/>
        <v>0</v>
      </c>
      <c r="M20" s="493"/>
      <c r="N20" s="492"/>
      <c r="O20" s="179"/>
      <c r="P20" s="505"/>
      <c r="Q20" s="324"/>
      <c r="R20" s="330"/>
      <c r="S20" s="330"/>
      <c r="T20" s="330"/>
      <c r="U20" s="330"/>
    </row>
    <row r="21" spans="1:21">
      <c r="A21" s="490"/>
      <c r="B21" s="491"/>
      <c r="C21" s="492"/>
      <c r="D21" s="493"/>
      <c r="E21" s="500">
        <v>3</v>
      </c>
      <c r="F21" s="466">
        <v>41548</v>
      </c>
      <c r="G21" s="500"/>
      <c r="H21" s="174">
        <v>25908.89</v>
      </c>
      <c r="I21" s="182">
        <f t="shared" si="1"/>
        <v>67550.09</v>
      </c>
      <c r="J21" s="174">
        <v>0</v>
      </c>
      <c r="K21" s="595">
        <v>-1457.2</v>
      </c>
      <c r="L21" s="529">
        <f t="shared" si="0"/>
        <v>-1457.2</v>
      </c>
      <c r="M21" s="493"/>
      <c r="N21" s="492"/>
      <c r="O21" s="179"/>
      <c r="P21" s="505"/>
      <c r="Q21" s="324"/>
      <c r="R21" s="330"/>
      <c r="S21" s="330"/>
      <c r="T21" s="330"/>
      <c r="U21" s="330"/>
    </row>
    <row r="22" spans="1:21">
      <c r="A22" s="490"/>
      <c r="B22" s="491"/>
      <c r="C22" s="492"/>
      <c r="D22" s="493"/>
      <c r="E22" s="500">
        <v>4</v>
      </c>
      <c r="F22" s="466">
        <v>41579</v>
      </c>
      <c r="G22" s="500"/>
      <c r="H22" s="174">
        <v>15831.95</v>
      </c>
      <c r="I22" s="182">
        <f t="shared" si="1"/>
        <v>83382.039999999994</v>
      </c>
      <c r="J22" s="174">
        <v>0</v>
      </c>
      <c r="K22" s="595">
        <v>-959.02</v>
      </c>
      <c r="L22" s="529">
        <f t="shared" si="0"/>
        <v>-959.02</v>
      </c>
      <c r="M22" s="493"/>
      <c r="N22" s="492"/>
      <c r="O22" s="179"/>
      <c r="P22" s="505"/>
      <c r="Q22" s="324"/>
      <c r="R22" s="330"/>
      <c r="S22" s="330"/>
      <c r="T22" s="330"/>
      <c r="U22" s="330"/>
    </row>
    <row r="23" spans="1:21">
      <c r="A23" s="490"/>
      <c r="B23" s="491"/>
      <c r="C23" s="492"/>
      <c r="D23" s="493"/>
      <c r="E23" s="500">
        <v>5</v>
      </c>
      <c r="F23" s="466">
        <v>41609</v>
      </c>
      <c r="G23" s="500"/>
      <c r="H23" s="174">
        <v>3211.72</v>
      </c>
      <c r="I23" s="182">
        <f t="shared" si="1"/>
        <v>86593.76</v>
      </c>
      <c r="J23" s="174">
        <v>0</v>
      </c>
      <c r="K23" s="595">
        <v>-13.3</v>
      </c>
      <c r="L23" s="529">
        <f t="shared" si="0"/>
        <v>-13.3</v>
      </c>
      <c r="M23" s="493"/>
      <c r="N23" s="492"/>
      <c r="O23" s="179"/>
      <c r="P23" s="505"/>
      <c r="Q23" s="324"/>
      <c r="R23" s="330"/>
      <c r="S23" s="330"/>
      <c r="T23" s="330"/>
      <c r="U23" s="330"/>
    </row>
    <row r="24" spans="1:21">
      <c r="A24" s="490"/>
      <c r="B24" s="491"/>
      <c r="C24" s="492"/>
      <c r="D24" s="493"/>
      <c r="E24" s="500">
        <v>6</v>
      </c>
      <c r="F24" s="466">
        <v>41640</v>
      </c>
      <c r="G24" s="500"/>
      <c r="H24" s="174">
        <v>3561.1300000000047</v>
      </c>
      <c r="I24" s="182">
        <f t="shared" si="1"/>
        <v>90154.89</v>
      </c>
      <c r="J24" s="174">
        <v>0</v>
      </c>
      <c r="K24" s="595">
        <v>-206.19</v>
      </c>
      <c r="L24" s="529">
        <f t="shared" si="0"/>
        <v>-206.19</v>
      </c>
      <c r="M24" s="493"/>
      <c r="N24" s="492"/>
      <c r="O24" s="179"/>
      <c r="P24" s="505"/>
      <c r="Q24" s="324"/>
      <c r="R24" s="330"/>
      <c r="S24" s="330"/>
      <c r="T24" s="330"/>
      <c r="U24" s="330"/>
    </row>
    <row r="25" spans="1:21">
      <c r="A25" s="490"/>
      <c r="B25" s="491"/>
      <c r="C25" s="492"/>
      <c r="D25" s="493"/>
      <c r="E25" s="500">
        <v>7</v>
      </c>
      <c r="F25" s="466">
        <v>41671</v>
      </c>
      <c r="G25" s="500"/>
      <c r="H25" s="174">
        <v>26205.91</v>
      </c>
      <c r="I25" s="182">
        <f t="shared" si="1"/>
        <v>116360.8</v>
      </c>
      <c r="J25" s="174">
        <v>0</v>
      </c>
      <c r="K25" s="595">
        <v>3.09</v>
      </c>
      <c r="L25" s="529">
        <f t="shared" si="0"/>
        <v>3.09</v>
      </c>
      <c r="M25" s="493"/>
      <c r="N25" s="492"/>
      <c r="O25" s="179"/>
      <c r="P25" s="505"/>
      <c r="Q25" s="324"/>
      <c r="R25" s="330"/>
      <c r="S25" s="330"/>
      <c r="T25" s="330"/>
      <c r="U25" s="330"/>
    </row>
    <row r="26" spans="1:21">
      <c r="A26" s="490"/>
      <c r="B26" s="491"/>
      <c r="C26" s="492"/>
      <c r="D26" s="493"/>
      <c r="E26" s="500">
        <v>8</v>
      </c>
      <c r="F26" s="466">
        <v>41699</v>
      </c>
      <c r="G26" s="500"/>
      <c r="H26" s="174">
        <v>21391.689999999988</v>
      </c>
      <c r="I26" s="182">
        <f t="shared" si="1"/>
        <v>137752.49</v>
      </c>
      <c r="J26" s="174">
        <v>0</v>
      </c>
      <c r="K26" s="595">
        <v>-143</v>
      </c>
      <c r="L26" s="529">
        <f>+J26+K26</f>
        <v>-143</v>
      </c>
      <c r="M26" s="493"/>
      <c r="N26" s="492"/>
      <c r="O26" s="179"/>
      <c r="P26" s="505"/>
      <c r="Q26" s="324"/>
      <c r="R26" s="330"/>
      <c r="S26" s="330"/>
      <c r="T26" s="330"/>
      <c r="U26" s="330"/>
    </row>
    <row r="27" spans="1:21">
      <c r="A27" s="490"/>
      <c r="B27" s="491"/>
      <c r="C27" s="492"/>
      <c r="D27" s="493"/>
      <c r="E27" s="500">
        <v>9</v>
      </c>
      <c r="F27" s="466">
        <v>41730</v>
      </c>
      <c r="G27" s="500"/>
      <c r="H27" s="174">
        <v>29767.58</v>
      </c>
      <c r="I27" s="182">
        <f>+I26+H27</f>
        <v>167520.07</v>
      </c>
      <c r="J27" s="174">
        <v>0</v>
      </c>
      <c r="K27" s="595">
        <v>-192.62</v>
      </c>
      <c r="L27" s="529">
        <f>+J27+K27</f>
        <v>-192.62</v>
      </c>
      <c r="M27" s="493"/>
      <c r="N27" s="492"/>
      <c r="O27" s="179"/>
      <c r="P27" s="505"/>
      <c r="Q27" s="324"/>
      <c r="R27" s="330"/>
      <c r="S27" s="330"/>
      <c r="T27" s="330"/>
      <c r="U27" s="330"/>
    </row>
    <row r="28" spans="1:21">
      <c r="A28" s="490"/>
      <c r="B28" s="491"/>
      <c r="C28" s="492"/>
      <c r="D28" s="493"/>
      <c r="E28" s="500">
        <v>10</v>
      </c>
      <c r="F28" s="466">
        <v>41760</v>
      </c>
      <c r="G28" s="500"/>
      <c r="H28" s="174">
        <v>56269.9</v>
      </c>
      <c r="I28" s="182">
        <f>+I27+H28</f>
        <v>223789.97</v>
      </c>
      <c r="J28" s="174">
        <v>0</v>
      </c>
      <c r="K28" s="595">
        <v>3570.59</v>
      </c>
      <c r="L28" s="529">
        <f>+J28+K28</f>
        <v>3570.59</v>
      </c>
      <c r="M28" s="493"/>
      <c r="N28" s="492"/>
      <c r="O28" s="179"/>
      <c r="P28" s="505"/>
      <c r="Q28" s="324"/>
      <c r="R28" s="330"/>
      <c r="S28" s="330"/>
      <c r="T28" s="330"/>
      <c r="U28" s="330"/>
    </row>
    <row r="29" spans="1:21">
      <c r="A29" s="490"/>
      <c r="B29" s="491"/>
      <c r="C29" s="492"/>
      <c r="D29" s="493"/>
      <c r="E29" s="500">
        <v>11</v>
      </c>
      <c r="F29" s="466">
        <v>41791</v>
      </c>
      <c r="G29" s="500"/>
      <c r="H29" s="174">
        <v>34765.22</v>
      </c>
      <c r="I29" s="182">
        <f>+I28+H29</f>
        <v>258555.19</v>
      </c>
      <c r="J29" s="174">
        <v>0</v>
      </c>
      <c r="K29" s="595">
        <v>1261.02</v>
      </c>
      <c r="L29" s="529">
        <f>+J29+K29</f>
        <v>1261.02</v>
      </c>
      <c r="M29" s="493"/>
      <c r="N29" s="492"/>
      <c r="O29" s="179"/>
      <c r="P29" s="505"/>
      <c r="Q29" s="324"/>
      <c r="R29" s="330"/>
      <c r="S29" s="330"/>
      <c r="T29" s="330"/>
      <c r="U29" s="330"/>
    </row>
    <row r="30" spans="1:21">
      <c r="A30" s="490"/>
      <c r="B30" s="491"/>
      <c r="C30" s="492"/>
      <c r="D30" s="493"/>
      <c r="E30" s="500">
        <v>12</v>
      </c>
      <c r="F30" s="466">
        <v>41821</v>
      </c>
      <c r="G30" s="500"/>
      <c r="H30" s="174">
        <v>45147.49</v>
      </c>
      <c r="I30" s="182">
        <f>+I29+H30</f>
        <v>303702.68</v>
      </c>
      <c r="J30" s="174">
        <v>0</v>
      </c>
      <c r="K30" s="595">
        <v>3889.45</v>
      </c>
      <c r="L30" s="529">
        <f>+J30+K30</f>
        <v>3889.45</v>
      </c>
      <c r="M30" s="493"/>
      <c r="N30" s="492"/>
      <c r="O30" s="179"/>
      <c r="P30" s="505"/>
      <c r="Q30" s="324"/>
      <c r="R30" s="330"/>
      <c r="S30" s="330"/>
      <c r="T30" s="330"/>
      <c r="U30" s="330"/>
    </row>
    <row r="31" spans="1:21" ht="14.25" thickBot="1">
      <c r="A31" s="494"/>
      <c r="B31" s="495"/>
      <c r="C31" s="191"/>
      <c r="D31" s="496"/>
      <c r="E31" s="501"/>
      <c r="F31" s="183"/>
      <c r="G31" s="501"/>
      <c r="H31" s="195"/>
      <c r="I31" s="200"/>
      <c r="J31" s="195"/>
      <c r="K31" s="200"/>
      <c r="L31" s="510"/>
      <c r="M31" s="496"/>
      <c r="N31" s="191"/>
      <c r="O31" s="191"/>
      <c r="P31" s="506"/>
      <c r="Q31" s="324"/>
      <c r="R31" s="330"/>
      <c r="S31" s="330"/>
      <c r="T31" s="330"/>
      <c r="U31" s="330"/>
    </row>
    <row r="32" spans="1:21" ht="14.25" thickBot="1">
      <c r="A32" s="494"/>
      <c r="B32" s="495"/>
      <c r="C32" s="191"/>
      <c r="D32" s="496"/>
      <c r="E32" s="501"/>
      <c r="F32" s="512"/>
      <c r="G32" s="501"/>
      <c r="H32" s="514">
        <f>SUM(H19:H30)</f>
        <v>303702.68</v>
      </c>
      <c r="I32" s="513"/>
      <c r="J32" s="518">
        <f>SUM(J19:J30)</f>
        <v>0</v>
      </c>
      <c r="K32" s="536">
        <f>SUM(K19:K30)</f>
        <v>5752.82</v>
      </c>
      <c r="L32" s="691">
        <f>SUM(L19:L30)</f>
        <v>5752.82</v>
      </c>
      <c r="M32" s="496"/>
      <c r="N32" s="507"/>
      <c r="O32" s="507"/>
      <c r="P32" s="507"/>
      <c r="Q32" s="324"/>
      <c r="R32" s="330"/>
      <c r="S32" s="330"/>
      <c r="T32" s="330"/>
      <c r="U32" s="330"/>
    </row>
    <row r="33" spans="1:21" ht="12" customHeight="1">
      <c r="A33" s="497"/>
      <c r="B33" s="497"/>
      <c r="C33" s="497"/>
      <c r="D33" s="497"/>
      <c r="E33" s="497"/>
      <c r="F33" s="497"/>
      <c r="G33" s="469"/>
      <c r="H33" s="469"/>
      <c r="I33" s="469"/>
      <c r="J33" s="469"/>
      <c r="K33" s="469"/>
      <c r="L33" s="469"/>
      <c r="M33" s="497"/>
      <c r="N33" s="497"/>
      <c r="O33" s="497"/>
      <c r="P33" s="497"/>
      <c r="Q33" s="324"/>
      <c r="R33" s="330"/>
      <c r="S33" s="330"/>
      <c r="T33" s="330"/>
      <c r="U33" s="330"/>
    </row>
    <row r="34" spans="1:21" ht="19.5" customHeight="1">
      <c r="A34" s="497"/>
      <c r="B34" s="497"/>
      <c r="C34" s="497"/>
      <c r="D34" s="497"/>
      <c r="E34" s="991" t="s">
        <v>439</v>
      </c>
      <c r="F34" s="991"/>
      <c r="G34" s="991"/>
      <c r="H34" s="991"/>
      <c r="I34" s="521" t="s">
        <v>9</v>
      </c>
      <c r="J34" s="131">
        <f>+H32</f>
        <v>303702.68</v>
      </c>
      <c r="K34" s="522"/>
      <c r="L34" s="469"/>
      <c r="M34" s="497"/>
      <c r="N34" s="497"/>
      <c r="O34" s="497"/>
      <c r="P34" s="497"/>
      <c r="Q34" s="324"/>
      <c r="R34" s="330"/>
      <c r="S34" s="330"/>
      <c r="T34" s="330"/>
      <c r="U34" s="330"/>
    </row>
    <row r="35" spans="1:21" ht="19.5" customHeight="1" thickBot="1">
      <c r="A35" s="497"/>
      <c r="B35" s="497"/>
      <c r="C35" s="497"/>
      <c r="D35" s="497"/>
      <c r="E35" s="996" t="s">
        <v>440</v>
      </c>
      <c r="F35" s="996"/>
      <c r="G35" s="996"/>
      <c r="H35" s="996"/>
      <c r="I35" s="523" t="s">
        <v>9</v>
      </c>
      <c r="J35" s="524">
        <f>+K32</f>
        <v>5752.82</v>
      </c>
      <c r="K35" s="525"/>
      <c r="L35" s="469"/>
      <c r="M35" s="497"/>
      <c r="N35" s="497"/>
      <c r="O35" s="497"/>
      <c r="P35" s="497"/>
      <c r="Q35" s="324"/>
      <c r="R35" s="330"/>
      <c r="S35" s="330"/>
      <c r="T35" s="330"/>
      <c r="U35" s="330"/>
    </row>
    <row r="36" spans="1:21" ht="12" customHeight="1" thickBot="1">
      <c r="A36" s="497"/>
      <c r="B36" s="497"/>
      <c r="C36" s="497"/>
      <c r="D36" s="497"/>
      <c r="E36" s="497"/>
      <c r="F36" s="497"/>
      <c r="G36" s="469"/>
      <c r="H36" s="469"/>
      <c r="I36" s="469"/>
      <c r="J36" s="469"/>
      <c r="K36" s="469"/>
      <c r="L36" s="469"/>
      <c r="M36" s="497"/>
      <c r="N36" s="497"/>
      <c r="O36" s="497"/>
      <c r="P36" s="497"/>
      <c r="Q36" s="324"/>
      <c r="R36" s="330"/>
      <c r="S36" s="330"/>
      <c r="T36" s="330"/>
      <c r="U36" s="330"/>
    </row>
    <row r="37" spans="1:21" ht="16.5" customHeight="1" thickBot="1">
      <c r="A37" s="497"/>
      <c r="B37" s="497"/>
      <c r="C37" s="497"/>
      <c r="D37" s="497"/>
      <c r="E37" s="997" t="s">
        <v>442</v>
      </c>
      <c r="F37" s="998"/>
      <c r="G37" s="998"/>
      <c r="H37" s="998"/>
      <c r="I37" s="526" t="s">
        <v>9</v>
      </c>
      <c r="J37" s="527">
        <f>+J34-J35</f>
        <v>297949.86</v>
      </c>
      <c r="K37" s="469"/>
      <c r="L37" s="469"/>
      <c r="M37" s="497"/>
      <c r="N37" s="497"/>
      <c r="O37" s="497"/>
      <c r="P37" s="497"/>
      <c r="Q37" s="324"/>
      <c r="R37" s="330"/>
      <c r="S37" s="330"/>
      <c r="T37" s="330"/>
      <c r="U37" s="330"/>
    </row>
    <row r="38" spans="1:21" ht="12" customHeight="1">
      <c r="A38" s="497"/>
      <c r="B38" s="497"/>
      <c r="C38" s="497"/>
      <c r="D38" s="497"/>
      <c r="E38" s="497"/>
      <c r="F38" s="497"/>
      <c r="G38" s="469"/>
      <c r="H38" s="469"/>
      <c r="I38" s="469"/>
      <c r="J38" s="469"/>
      <c r="K38" s="469"/>
      <c r="L38" s="469"/>
      <c r="M38" s="497"/>
      <c r="N38" s="497"/>
      <c r="O38" s="497"/>
      <c r="P38" s="497"/>
      <c r="Q38" s="324"/>
      <c r="R38" s="330"/>
      <c r="S38" s="330"/>
      <c r="T38" s="330"/>
      <c r="U38" s="330"/>
    </row>
    <row r="39" spans="1:21" ht="12" customHeight="1">
      <c r="A39" s="497"/>
      <c r="B39" s="497"/>
      <c r="C39" s="497"/>
      <c r="D39" s="497"/>
      <c r="E39" s="497"/>
      <c r="F39" s="497"/>
      <c r="G39" s="469"/>
      <c r="H39" s="469"/>
      <c r="I39" s="469"/>
      <c r="J39" s="469"/>
      <c r="K39" s="469"/>
      <c r="L39" s="469"/>
      <c r="M39" s="497"/>
      <c r="N39" s="497"/>
      <c r="O39" s="497"/>
      <c r="P39" s="497"/>
      <c r="Q39" s="324"/>
      <c r="R39" s="330"/>
      <c r="S39" s="330"/>
      <c r="T39" s="330"/>
      <c r="U39" s="330"/>
    </row>
    <row r="40" spans="1:21" ht="18">
      <c r="A40" s="22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0"/>
      <c r="R40" s="330"/>
      <c r="S40" s="330"/>
      <c r="T40" s="330"/>
      <c r="U40" s="330"/>
    </row>
    <row r="41" spans="1:21" ht="17.25" thickBot="1">
      <c r="A41" s="135" t="s">
        <v>441</v>
      </c>
      <c r="B41" s="136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330"/>
      <c r="R41" s="330"/>
      <c r="S41" s="330"/>
      <c r="T41" s="330"/>
      <c r="U41" s="330"/>
    </row>
    <row r="42" spans="1:21">
      <c r="A42" s="138"/>
      <c r="B42" s="139"/>
      <c r="C42" s="994" t="s">
        <v>14</v>
      </c>
      <c r="D42" s="995"/>
      <c r="E42" s="999" t="s">
        <v>16</v>
      </c>
      <c r="F42" s="995"/>
      <c r="G42" s="140"/>
      <c r="H42" s="994" t="s">
        <v>17</v>
      </c>
      <c r="I42" s="995"/>
      <c r="J42" s="999" t="s">
        <v>12</v>
      </c>
      <c r="K42" s="995"/>
      <c r="L42" s="994" t="s">
        <v>10</v>
      </c>
      <c r="M42" s="995"/>
      <c r="N42" s="141" t="s">
        <v>37</v>
      </c>
      <c r="O42" s="142"/>
      <c r="P42" s="143" t="s">
        <v>0</v>
      </c>
      <c r="Q42" s="330"/>
      <c r="R42" s="330"/>
      <c r="S42" s="330"/>
      <c r="T42" s="330"/>
      <c r="U42" s="330"/>
    </row>
    <row r="43" spans="1:21">
      <c r="A43" s="144" t="s">
        <v>38</v>
      </c>
      <c r="B43" s="145" t="s">
        <v>11</v>
      </c>
      <c r="C43" s="146" t="s">
        <v>4</v>
      </c>
      <c r="D43" s="147" t="s">
        <v>15</v>
      </c>
      <c r="E43" s="148" t="s">
        <v>4</v>
      </c>
      <c r="F43" s="147" t="s">
        <v>15</v>
      </c>
      <c r="G43" s="149" t="s">
        <v>5</v>
      </c>
      <c r="H43" s="146" t="s">
        <v>4</v>
      </c>
      <c r="I43" s="150" t="s">
        <v>15</v>
      </c>
      <c r="J43" s="148" t="s">
        <v>4</v>
      </c>
      <c r="K43" s="148" t="s">
        <v>15</v>
      </c>
      <c r="L43" s="146"/>
      <c r="M43" s="147"/>
      <c r="N43" s="151"/>
      <c r="O43" s="152"/>
      <c r="P43" s="153" t="s">
        <v>35</v>
      </c>
      <c r="Q43" s="330"/>
      <c r="R43" s="330"/>
      <c r="S43" s="330"/>
      <c r="T43" s="330"/>
      <c r="U43" s="330"/>
    </row>
    <row r="44" spans="1:21" ht="14.25" thickBot="1">
      <c r="A44" s="154"/>
      <c r="B44" s="155"/>
      <c r="C44" s="156" t="s">
        <v>13</v>
      </c>
      <c r="D44" s="157" t="s">
        <v>13</v>
      </c>
      <c r="E44" s="158" t="s">
        <v>13</v>
      </c>
      <c r="F44" s="157" t="s">
        <v>13</v>
      </c>
      <c r="G44" s="159"/>
      <c r="H44" s="160" t="s">
        <v>13</v>
      </c>
      <c r="I44" s="161" t="s">
        <v>13</v>
      </c>
      <c r="J44" s="162" t="s">
        <v>13</v>
      </c>
      <c r="K44" s="163" t="s">
        <v>13</v>
      </c>
      <c r="L44" s="164" t="s">
        <v>4</v>
      </c>
      <c r="M44" s="165" t="s">
        <v>15</v>
      </c>
      <c r="N44" s="166" t="s">
        <v>36</v>
      </c>
      <c r="O44" s="167" t="s">
        <v>6</v>
      </c>
      <c r="P44" s="168" t="s">
        <v>18</v>
      </c>
      <c r="Q44" s="330"/>
      <c r="R44" s="330"/>
      <c r="S44" s="330"/>
      <c r="T44" s="330"/>
      <c r="U44" s="330"/>
    </row>
    <row r="45" spans="1:21">
      <c r="A45" s="169">
        <v>1</v>
      </c>
      <c r="B45" s="132">
        <v>41487</v>
      </c>
      <c r="C45" s="170">
        <v>288701.96999999997</v>
      </c>
      <c r="D45" s="171">
        <f>+C45</f>
        <v>288701.96999999997</v>
      </c>
      <c r="E45" s="170">
        <v>274512.34999999998</v>
      </c>
      <c r="F45" s="172">
        <f>+E45</f>
        <v>274512.34999999998</v>
      </c>
      <c r="G45" s="173">
        <f>+'IND K'!P44-1</f>
        <v>6.4000000000000057E-2</v>
      </c>
      <c r="H45" s="174">
        <f t="shared" ref="H45:H57" si="2">ROUND(G45*C45,2)</f>
        <v>18476.93</v>
      </c>
      <c r="I45" s="175">
        <f>+H45</f>
        <v>18476.93</v>
      </c>
      <c r="J45" s="176">
        <f t="shared" ref="J45:J56" si="3">ROUND(E45*G45,2)</f>
        <v>17568.79</v>
      </c>
      <c r="K45" s="175">
        <f>+J45</f>
        <v>17568.79</v>
      </c>
      <c r="L45" s="177">
        <f>+J45</f>
        <v>17568.79</v>
      </c>
      <c r="M45" s="178">
        <f>+L45</f>
        <v>17568.79</v>
      </c>
      <c r="N45" s="174">
        <v>0</v>
      </c>
      <c r="O45" s="530" t="e">
        <f>+#REF!+#REF!+#REF!+#REF!+#REF!</f>
        <v>#REF!</v>
      </c>
      <c r="P45" s="180" t="e">
        <f t="shared" ref="P45:P56" si="4">+N45+O45</f>
        <v>#REF!</v>
      </c>
      <c r="Q45" s="596"/>
      <c r="R45" s="596"/>
      <c r="S45" s="330"/>
      <c r="T45" s="330"/>
      <c r="U45" s="330"/>
    </row>
    <row r="46" spans="1:21">
      <c r="A46" s="181">
        <v>2</v>
      </c>
      <c r="B46" s="466">
        <v>41518</v>
      </c>
      <c r="C46" s="174">
        <v>383356.36</v>
      </c>
      <c r="D46" s="182">
        <f t="shared" ref="D46:D57" si="5">+D45+C46</f>
        <v>672058.33</v>
      </c>
      <c r="E46" s="174">
        <v>640450.75</v>
      </c>
      <c r="F46" s="182">
        <f t="shared" ref="F46:F57" si="6">+F45+E46</f>
        <v>914963.1</v>
      </c>
      <c r="G46" s="467">
        <f>+'IND K'!R44-1</f>
        <v>8.2000000000000073E-2</v>
      </c>
      <c r="H46" s="174">
        <f t="shared" si="2"/>
        <v>31435.22</v>
      </c>
      <c r="I46" s="182">
        <f t="shared" ref="I46:I57" si="7">+I45+H46</f>
        <v>49912.15</v>
      </c>
      <c r="J46" s="176">
        <f t="shared" si="3"/>
        <v>52516.959999999999</v>
      </c>
      <c r="K46" s="182">
        <f t="shared" ref="K46:K57" si="8">+K45+J46</f>
        <v>70085.75</v>
      </c>
      <c r="L46" s="177">
        <f>+I46-L45</f>
        <v>32343.360000000001</v>
      </c>
      <c r="M46" s="468">
        <f t="shared" ref="M46:M57" si="9">+M45+L46</f>
        <v>49912.15</v>
      </c>
      <c r="N46" s="174">
        <v>0</v>
      </c>
      <c r="O46" s="530" t="e">
        <f>+#REF!+#REF!+#REF!+#REF!+#REF!</f>
        <v>#REF!</v>
      </c>
      <c r="P46" s="180" t="e">
        <f t="shared" si="4"/>
        <v>#REF!</v>
      </c>
      <c r="Q46" s="596"/>
      <c r="R46" s="596"/>
      <c r="S46" s="330"/>
      <c r="T46" s="330"/>
      <c r="U46" s="330"/>
    </row>
    <row r="47" spans="1:21">
      <c r="A47" s="181">
        <v>3</v>
      </c>
      <c r="B47" s="466">
        <v>41548</v>
      </c>
      <c r="C47" s="174">
        <v>461547.98</v>
      </c>
      <c r="D47" s="182">
        <f t="shared" si="5"/>
        <v>1133606.31</v>
      </c>
      <c r="E47" s="174">
        <v>784828.97</v>
      </c>
      <c r="F47" s="182">
        <f t="shared" si="6"/>
        <v>1699792.0699999998</v>
      </c>
      <c r="G47" s="467">
        <f>+'IND K'!T44-1</f>
        <v>-1</v>
      </c>
      <c r="H47" s="174">
        <f t="shared" si="2"/>
        <v>-461547.98</v>
      </c>
      <c r="I47" s="182">
        <f t="shared" si="7"/>
        <v>-411635.82999999996</v>
      </c>
      <c r="J47" s="176">
        <f t="shared" si="3"/>
        <v>-784828.97</v>
      </c>
      <c r="K47" s="182">
        <f t="shared" si="8"/>
        <v>-714743.22</v>
      </c>
      <c r="L47" s="177">
        <f t="shared" ref="L47:L55" si="10">+H47</f>
        <v>-461547.98</v>
      </c>
      <c r="M47" s="468">
        <f t="shared" si="9"/>
        <v>-411635.82999999996</v>
      </c>
      <c r="N47" s="174">
        <v>0</v>
      </c>
      <c r="O47" s="530" t="e">
        <f>+#REF!+#REF!+#REF!+#REF!+#REF!</f>
        <v>#REF!</v>
      </c>
      <c r="P47" s="180" t="e">
        <f t="shared" si="4"/>
        <v>#REF!</v>
      </c>
      <c r="Q47" s="596"/>
      <c r="R47" s="596"/>
      <c r="S47" s="330"/>
      <c r="T47" s="330"/>
      <c r="U47" s="330"/>
    </row>
    <row r="48" spans="1:21">
      <c r="A48" s="181">
        <v>4</v>
      </c>
      <c r="B48" s="466">
        <v>41579</v>
      </c>
      <c r="C48" s="174">
        <v>272964.64</v>
      </c>
      <c r="D48" s="182">
        <f t="shared" si="5"/>
        <v>1406570.9500000002</v>
      </c>
      <c r="E48" s="174">
        <v>319218.58</v>
      </c>
      <c r="F48" s="182">
        <f t="shared" si="6"/>
        <v>2019010.65</v>
      </c>
      <c r="G48" s="467">
        <f>+'IND K'!V44-1</f>
        <v>-1</v>
      </c>
      <c r="H48" s="174">
        <f t="shared" si="2"/>
        <v>-272964.64</v>
      </c>
      <c r="I48" s="182">
        <f t="shared" si="7"/>
        <v>-684600.47</v>
      </c>
      <c r="J48" s="176">
        <f t="shared" si="3"/>
        <v>-319218.58</v>
      </c>
      <c r="K48" s="182">
        <f t="shared" si="8"/>
        <v>-1033961.8</v>
      </c>
      <c r="L48" s="177">
        <f t="shared" si="10"/>
        <v>-272964.64</v>
      </c>
      <c r="M48" s="468">
        <f t="shared" si="9"/>
        <v>-684600.47</v>
      </c>
      <c r="N48" s="174">
        <v>0</v>
      </c>
      <c r="O48" s="530" t="e">
        <f>+#REF!+#REF!+#REF!+#REF!+#REF!</f>
        <v>#REF!</v>
      </c>
      <c r="P48" s="180" t="e">
        <f t="shared" si="4"/>
        <v>#REF!</v>
      </c>
      <c r="Q48" s="596"/>
      <c r="R48" s="596"/>
      <c r="S48" s="330"/>
      <c r="T48" s="330"/>
      <c r="U48" s="330"/>
    </row>
    <row r="49" spans="1:21">
      <c r="A49" s="181">
        <v>5</v>
      </c>
      <c r="B49" s="466">
        <v>41609</v>
      </c>
      <c r="C49" s="174">
        <v>747678.7</v>
      </c>
      <c r="D49" s="182">
        <f t="shared" si="5"/>
        <v>2154249.6500000004</v>
      </c>
      <c r="E49" s="174">
        <v>43901.97</v>
      </c>
      <c r="F49" s="182">
        <f t="shared" si="6"/>
        <v>2062912.6199999999</v>
      </c>
      <c r="G49" s="467">
        <f>+'IND K'!X44-1</f>
        <v>-1</v>
      </c>
      <c r="H49" s="174">
        <f t="shared" si="2"/>
        <v>-747678.7</v>
      </c>
      <c r="I49" s="182">
        <f t="shared" si="7"/>
        <v>-1432279.17</v>
      </c>
      <c r="J49" s="176">
        <f t="shared" si="3"/>
        <v>-43901.97</v>
      </c>
      <c r="K49" s="182">
        <f t="shared" si="8"/>
        <v>-1077863.77</v>
      </c>
      <c r="L49" s="177">
        <f t="shared" si="10"/>
        <v>-747678.7</v>
      </c>
      <c r="M49" s="468">
        <f t="shared" si="9"/>
        <v>-1432279.17</v>
      </c>
      <c r="N49" s="174">
        <v>0</v>
      </c>
      <c r="O49" s="530" t="e">
        <f>+#REF!+#REF!+#REF!+#REF!+#REF!</f>
        <v>#REF!</v>
      </c>
      <c r="P49" s="180" t="e">
        <f>+N49+O49</f>
        <v>#REF!</v>
      </c>
      <c r="Q49" s="596"/>
      <c r="R49" s="596"/>
      <c r="S49" s="330"/>
      <c r="T49" s="330"/>
      <c r="U49" s="330"/>
    </row>
    <row r="50" spans="1:21">
      <c r="A50" s="181">
        <v>6</v>
      </c>
      <c r="B50" s="466">
        <v>41640</v>
      </c>
      <c r="C50" s="174">
        <v>57437.62</v>
      </c>
      <c r="D50" s="182">
        <f t="shared" si="5"/>
        <v>2211687.2700000005</v>
      </c>
      <c r="E50" s="174">
        <v>111240.72</v>
      </c>
      <c r="F50" s="182">
        <f t="shared" si="6"/>
        <v>2174153.34</v>
      </c>
      <c r="G50" s="467" t="e">
        <f>+'IND K'!#REF!-1</f>
        <v>#REF!</v>
      </c>
      <c r="H50" s="174" t="e">
        <f t="shared" si="2"/>
        <v>#REF!</v>
      </c>
      <c r="I50" s="182" t="e">
        <f t="shared" si="7"/>
        <v>#REF!</v>
      </c>
      <c r="J50" s="176" t="e">
        <f t="shared" si="3"/>
        <v>#REF!</v>
      </c>
      <c r="K50" s="182" t="e">
        <f t="shared" si="8"/>
        <v>#REF!</v>
      </c>
      <c r="L50" s="177" t="e">
        <f t="shared" si="10"/>
        <v>#REF!</v>
      </c>
      <c r="M50" s="468" t="e">
        <f t="shared" si="9"/>
        <v>#REF!</v>
      </c>
      <c r="N50" s="174">
        <v>0</v>
      </c>
      <c r="O50" s="530" t="e">
        <f>+#REF!+#REF!+#REF!+#REF!+#REF!</f>
        <v>#REF!</v>
      </c>
      <c r="P50" s="180" t="e">
        <f t="shared" si="4"/>
        <v>#REF!</v>
      </c>
      <c r="Q50" s="596"/>
      <c r="R50" s="596"/>
      <c r="S50" s="330"/>
      <c r="T50" s="330"/>
      <c r="U50" s="330"/>
    </row>
    <row r="51" spans="1:21">
      <c r="A51" s="181">
        <v>7</v>
      </c>
      <c r="B51" s="466">
        <v>41671</v>
      </c>
      <c r="C51" s="174">
        <v>163365.60800000001</v>
      </c>
      <c r="D51" s="182">
        <f t="shared" si="5"/>
        <v>2375052.8780000005</v>
      </c>
      <c r="E51" s="174">
        <v>389168.73</v>
      </c>
      <c r="F51" s="182">
        <f t="shared" si="6"/>
        <v>2563322.0699999998</v>
      </c>
      <c r="G51" s="467" t="e">
        <f>+'IND K'!#REF!-1</f>
        <v>#REF!</v>
      </c>
      <c r="H51" s="174" t="e">
        <f t="shared" si="2"/>
        <v>#REF!</v>
      </c>
      <c r="I51" s="182" t="e">
        <f t="shared" si="7"/>
        <v>#REF!</v>
      </c>
      <c r="J51" s="176" t="e">
        <f t="shared" si="3"/>
        <v>#REF!</v>
      </c>
      <c r="K51" s="182" t="e">
        <f t="shared" si="8"/>
        <v>#REF!</v>
      </c>
      <c r="L51" s="177" t="e">
        <f t="shared" si="10"/>
        <v>#REF!</v>
      </c>
      <c r="M51" s="468" t="e">
        <f t="shared" si="9"/>
        <v>#REF!</v>
      </c>
      <c r="N51" s="174">
        <v>0</v>
      </c>
      <c r="O51" s="530" t="e">
        <f>+#REF!+#REF!+#REF!+#REF!+#REF!</f>
        <v>#REF!</v>
      </c>
      <c r="P51" s="180" t="e">
        <f t="shared" si="4"/>
        <v>#REF!</v>
      </c>
      <c r="Q51" s="596"/>
      <c r="R51" s="596"/>
      <c r="S51" s="330"/>
      <c r="T51" s="330"/>
      <c r="U51" s="330"/>
    </row>
    <row r="52" spans="1:21">
      <c r="A52" s="181">
        <v>8</v>
      </c>
      <c r="B52" s="466">
        <v>41699</v>
      </c>
      <c r="C52" s="174">
        <v>226607.62</v>
      </c>
      <c r="D52" s="182">
        <f t="shared" si="5"/>
        <v>2601660.4980000006</v>
      </c>
      <c r="E52" s="174">
        <v>302134.02</v>
      </c>
      <c r="F52" s="182">
        <f t="shared" si="6"/>
        <v>2865456.09</v>
      </c>
      <c r="G52" s="467" t="e">
        <f>+'IND K'!#REF!-1</f>
        <v>#REF!</v>
      </c>
      <c r="H52" s="174" t="e">
        <f t="shared" si="2"/>
        <v>#REF!</v>
      </c>
      <c r="I52" s="182" t="e">
        <f t="shared" si="7"/>
        <v>#REF!</v>
      </c>
      <c r="J52" s="176" t="e">
        <f t="shared" si="3"/>
        <v>#REF!</v>
      </c>
      <c r="K52" s="182" t="e">
        <f t="shared" si="8"/>
        <v>#REF!</v>
      </c>
      <c r="L52" s="177" t="e">
        <f t="shared" si="10"/>
        <v>#REF!</v>
      </c>
      <c r="M52" s="468" t="e">
        <f t="shared" si="9"/>
        <v>#REF!</v>
      </c>
      <c r="N52" s="174">
        <v>0</v>
      </c>
      <c r="O52" s="530" t="e">
        <f>+#REF!+#REF!+#REF!+#REF!+#REF!</f>
        <v>#REF!</v>
      </c>
      <c r="P52" s="180" t="e">
        <f t="shared" si="4"/>
        <v>#REF!</v>
      </c>
      <c r="Q52" s="596"/>
      <c r="R52" s="596"/>
      <c r="S52" s="330"/>
      <c r="T52" s="330"/>
      <c r="U52" s="330"/>
    </row>
    <row r="53" spans="1:21">
      <c r="A53" s="181">
        <v>9</v>
      </c>
      <c r="B53" s="466">
        <v>41730</v>
      </c>
      <c r="C53" s="174">
        <v>419261.68</v>
      </c>
      <c r="D53" s="182">
        <f t="shared" si="5"/>
        <v>3020922.1780000008</v>
      </c>
      <c r="E53" s="174">
        <v>464997.63</v>
      </c>
      <c r="F53" s="182">
        <f t="shared" si="6"/>
        <v>3330453.7199999997</v>
      </c>
      <c r="G53" s="467">
        <v>6.9000000000000006E-2</v>
      </c>
      <c r="H53" s="174">
        <f t="shared" si="2"/>
        <v>28929.06</v>
      </c>
      <c r="I53" s="182" t="e">
        <f t="shared" si="7"/>
        <v>#REF!</v>
      </c>
      <c r="J53" s="176">
        <f t="shared" si="3"/>
        <v>32084.84</v>
      </c>
      <c r="K53" s="182" t="e">
        <f t="shared" si="8"/>
        <v>#REF!</v>
      </c>
      <c r="L53" s="177">
        <f t="shared" si="10"/>
        <v>28929.06</v>
      </c>
      <c r="M53" s="468" t="e">
        <f t="shared" si="9"/>
        <v>#REF!</v>
      </c>
      <c r="N53" s="174">
        <v>0</v>
      </c>
      <c r="O53" s="530" t="e">
        <f>+#REF!+#REF!+#REF!+#REF!+#REF!</f>
        <v>#REF!</v>
      </c>
      <c r="P53" s="180" t="e">
        <f t="shared" si="4"/>
        <v>#REF!</v>
      </c>
      <c r="Q53" s="596"/>
      <c r="R53" s="596"/>
      <c r="S53" s="330"/>
      <c r="T53" s="330"/>
      <c r="U53" s="330"/>
    </row>
    <row r="54" spans="1:21">
      <c r="A54" s="181">
        <v>10</v>
      </c>
      <c r="B54" s="466">
        <v>41760</v>
      </c>
      <c r="C54" s="692">
        <v>427654.52</v>
      </c>
      <c r="D54" s="182">
        <f t="shared" si="5"/>
        <v>3448576.6980000008</v>
      </c>
      <c r="E54" s="174">
        <v>454817.95</v>
      </c>
      <c r="F54" s="182">
        <f t="shared" si="6"/>
        <v>3785271.67</v>
      </c>
      <c r="G54" s="467">
        <v>7.2999999999999995E-2</v>
      </c>
      <c r="H54" s="174">
        <f t="shared" si="2"/>
        <v>31218.78</v>
      </c>
      <c r="I54" s="182" t="e">
        <f t="shared" si="7"/>
        <v>#REF!</v>
      </c>
      <c r="J54" s="176">
        <f t="shared" si="3"/>
        <v>33201.71</v>
      </c>
      <c r="K54" s="182" t="e">
        <f t="shared" si="8"/>
        <v>#REF!</v>
      </c>
      <c r="L54" s="177">
        <f t="shared" si="10"/>
        <v>31218.78</v>
      </c>
      <c r="M54" s="468" t="e">
        <f t="shared" si="9"/>
        <v>#REF!</v>
      </c>
      <c r="N54" s="174">
        <v>0</v>
      </c>
      <c r="O54" s="530" t="e">
        <f>+#REF!+#REF!+#REF!+#REF!+#REF!</f>
        <v>#REF!</v>
      </c>
      <c r="P54" s="180" t="e">
        <f t="shared" si="4"/>
        <v>#REF!</v>
      </c>
      <c r="Q54" s="596"/>
      <c r="R54" s="596"/>
      <c r="S54" s="330"/>
      <c r="T54" s="330"/>
      <c r="U54" s="330"/>
    </row>
    <row r="55" spans="1:21">
      <c r="A55" s="181">
        <v>11</v>
      </c>
      <c r="B55" s="466">
        <v>41791</v>
      </c>
      <c r="C55" s="692">
        <v>503843.73</v>
      </c>
      <c r="D55" s="182">
        <f t="shared" si="5"/>
        <v>3952420.4280000008</v>
      </c>
      <c r="E55" s="174">
        <v>599157.06999999995</v>
      </c>
      <c r="F55" s="182">
        <f t="shared" si="6"/>
        <v>4384428.74</v>
      </c>
      <c r="G55" s="467">
        <v>0.08</v>
      </c>
      <c r="H55" s="174">
        <f t="shared" si="2"/>
        <v>40307.5</v>
      </c>
      <c r="I55" s="182" t="e">
        <f t="shared" si="7"/>
        <v>#REF!</v>
      </c>
      <c r="J55" s="176">
        <f t="shared" si="3"/>
        <v>47932.57</v>
      </c>
      <c r="K55" s="182" t="e">
        <f t="shared" si="8"/>
        <v>#REF!</v>
      </c>
      <c r="L55" s="177">
        <f t="shared" si="10"/>
        <v>40307.5</v>
      </c>
      <c r="M55" s="468" t="e">
        <f t="shared" si="9"/>
        <v>#REF!</v>
      </c>
      <c r="N55" s="174">
        <v>0</v>
      </c>
      <c r="O55" s="530" t="e">
        <f>+#REF!+#REF!+#REF!+#REF!+#REF!</f>
        <v>#REF!</v>
      </c>
      <c r="P55" s="180" t="e">
        <f t="shared" si="4"/>
        <v>#REF!</v>
      </c>
      <c r="Q55" s="596"/>
      <c r="R55" s="596"/>
      <c r="S55" s="330"/>
      <c r="T55" s="330"/>
      <c r="U55" s="330"/>
    </row>
    <row r="56" spans="1:21">
      <c r="A56" s="181">
        <v>12</v>
      </c>
      <c r="B56" s="466">
        <v>41821</v>
      </c>
      <c r="C56" s="692">
        <v>650367.13</v>
      </c>
      <c r="D56" s="182">
        <f t="shared" si="5"/>
        <v>4602787.5580000011</v>
      </c>
      <c r="E56" s="174">
        <v>567417.86</v>
      </c>
      <c r="F56" s="182">
        <f t="shared" si="6"/>
        <v>4951846.6000000006</v>
      </c>
      <c r="G56" s="467">
        <v>0.08</v>
      </c>
      <c r="H56" s="174">
        <f t="shared" si="2"/>
        <v>52029.37</v>
      </c>
      <c r="I56" s="182" t="e">
        <f t="shared" si="7"/>
        <v>#REF!</v>
      </c>
      <c r="J56" s="176">
        <f t="shared" si="3"/>
        <v>45393.43</v>
      </c>
      <c r="K56" s="182" t="e">
        <f t="shared" si="8"/>
        <v>#REF!</v>
      </c>
      <c r="L56" s="177">
        <f>+J56</f>
        <v>45393.43</v>
      </c>
      <c r="M56" s="468" t="e">
        <f t="shared" si="9"/>
        <v>#REF!</v>
      </c>
      <c r="N56" s="174">
        <v>0</v>
      </c>
      <c r="O56" s="530" t="e">
        <f>+#REF!+#REF!+#REF!+#REF!+#REF!</f>
        <v>#REF!</v>
      </c>
      <c r="P56" s="180" t="e">
        <f t="shared" si="4"/>
        <v>#REF!</v>
      </c>
      <c r="Q56" s="596"/>
      <c r="R56" s="596"/>
      <c r="S56" s="330"/>
      <c r="T56" s="330"/>
      <c r="U56" s="330"/>
    </row>
    <row r="57" spans="1:21">
      <c r="A57" s="181">
        <v>13</v>
      </c>
      <c r="B57" s="466">
        <v>41852</v>
      </c>
      <c r="C57" s="692">
        <v>476844.86700000003</v>
      </c>
      <c r="D57" s="182">
        <f t="shared" si="5"/>
        <v>5079632.4250000007</v>
      </c>
      <c r="E57" s="174" t="e">
        <f>+#REF!</f>
        <v>#REF!</v>
      </c>
      <c r="F57" s="182" t="e">
        <f t="shared" si="6"/>
        <v>#REF!</v>
      </c>
      <c r="G57" s="467">
        <v>0.08</v>
      </c>
      <c r="H57" s="174">
        <f t="shared" si="2"/>
        <v>38147.589999999997</v>
      </c>
      <c r="I57" s="182" t="e">
        <f t="shared" si="7"/>
        <v>#REF!</v>
      </c>
      <c r="J57" s="176" t="e">
        <f>ROUND(E57*G57,2)</f>
        <v>#REF!</v>
      </c>
      <c r="K57" s="182" t="e">
        <f t="shared" si="8"/>
        <v>#REF!</v>
      </c>
      <c r="L57" s="813">
        <f>+H57</f>
        <v>38147.589999999997</v>
      </c>
      <c r="M57" s="468" t="e">
        <f t="shared" si="9"/>
        <v>#REF!</v>
      </c>
      <c r="N57" s="174">
        <v>0</v>
      </c>
      <c r="O57" s="530" t="e">
        <f>+#REF!+#REF!+#REF!+#REF!+#REF!</f>
        <v>#REF!</v>
      </c>
      <c r="P57" s="180" t="e">
        <f>+N57+O57</f>
        <v>#REF!</v>
      </c>
      <c r="Q57" s="596"/>
      <c r="R57" s="596"/>
      <c r="S57" s="330"/>
      <c r="T57" s="330"/>
      <c r="U57" s="330"/>
    </row>
    <row r="58" spans="1:21" ht="14.25" thickBot="1">
      <c r="A58" s="181"/>
      <c r="B58" s="466"/>
      <c r="C58" s="174"/>
      <c r="D58" s="185"/>
      <c r="E58" s="186"/>
      <c r="F58" s="187"/>
      <c r="G58" s="188"/>
      <c r="H58" s="184"/>
      <c r="I58" s="189"/>
      <c r="J58" s="186"/>
      <c r="K58" s="187"/>
      <c r="L58" s="190"/>
      <c r="M58" s="185"/>
      <c r="N58" s="184"/>
      <c r="O58" s="191"/>
      <c r="P58" s="192"/>
      <c r="Q58" s="596"/>
      <c r="R58" s="596"/>
      <c r="S58" s="330"/>
      <c r="T58" s="330"/>
      <c r="U58" s="330"/>
    </row>
    <row r="59" spans="1:21" ht="17.25" thickBot="1">
      <c r="A59" s="193"/>
      <c r="B59" s="194"/>
      <c r="C59" s="195"/>
      <c r="D59" s="196"/>
      <c r="E59" s="197"/>
      <c r="F59" s="198"/>
      <c r="G59" s="199"/>
      <c r="H59" s="195"/>
      <c r="I59" s="200"/>
      <c r="J59" s="197"/>
      <c r="K59" s="198"/>
      <c r="L59" s="659" t="e">
        <f>SUM(L45:L57)</f>
        <v>#REF!</v>
      </c>
      <c r="M59" s="198"/>
      <c r="N59" s="659">
        <f>SUM(N45:N57)</f>
        <v>0</v>
      </c>
      <c r="O59" s="659" t="e">
        <f>SUM(O45:O57)</f>
        <v>#REF!</v>
      </c>
      <c r="P59" s="816" t="e">
        <f>SUM(P45:P57)</f>
        <v>#REF!</v>
      </c>
      <c r="Q59" s="596"/>
      <c r="R59" s="596"/>
      <c r="S59" s="330"/>
      <c r="T59" s="330"/>
      <c r="U59" s="330"/>
    </row>
    <row r="60" spans="1:21">
      <c r="A60" s="24"/>
      <c r="B60" s="25"/>
      <c r="C60" s="807"/>
      <c r="D60" s="25"/>
      <c r="E60" s="26"/>
      <c r="F60" s="12"/>
      <c r="G60" s="23"/>
      <c r="H60" s="23"/>
      <c r="I60" s="23"/>
      <c r="J60" s="23"/>
      <c r="K60" s="23"/>
      <c r="L60" s="12"/>
      <c r="M60" s="12"/>
      <c r="N60" s="12"/>
      <c r="O60" s="12"/>
      <c r="P60" s="12"/>
      <c r="Q60" s="596"/>
      <c r="R60" s="596"/>
      <c r="S60" s="330"/>
      <c r="T60" s="330"/>
      <c r="U60" s="330"/>
    </row>
    <row r="61" spans="1:21">
      <c r="A61" s="24"/>
      <c r="B61" s="25"/>
      <c r="C61" s="25"/>
      <c r="D61" s="25"/>
      <c r="E61" s="26"/>
      <c r="F61" s="12"/>
      <c r="G61" s="23"/>
      <c r="H61" s="23"/>
      <c r="I61" s="23"/>
      <c r="J61" s="23"/>
      <c r="K61" s="23"/>
      <c r="L61" s="12"/>
      <c r="M61" s="12"/>
      <c r="N61" s="12"/>
      <c r="O61" s="12"/>
      <c r="P61" s="12"/>
      <c r="Q61" s="596"/>
      <c r="R61" s="596"/>
      <c r="S61" s="330"/>
      <c r="T61" s="330"/>
      <c r="U61" s="330"/>
    </row>
    <row r="62" spans="1:21" ht="13.5" thickBot="1">
      <c r="Q62" s="328"/>
      <c r="R62" s="596"/>
    </row>
    <row r="63" spans="1:21" ht="19.5" customHeight="1" thickBot="1">
      <c r="G63" s="1000" t="s">
        <v>443</v>
      </c>
      <c r="H63" s="1001"/>
      <c r="I63" s="1001"/>
      <c r="J63" s="1002"/>
      <c r="K63" s="27" t="s">
        <v>9</v>
      </c>
      <c r="L63" s="201" t="e">
        <f>+L59</f>
        <v>#REF!</v>
      </c>
      <c r="M63" s="29"/>
      <c r="O63" s="326"/>
      <c r="Q63" s="328"/>
      <c r="R63" s="596"/>
    </row>
    <row r="64" spans="1:21" ht="13.5" thickBot="1">
      <c r="G64" s="537"/>
      <c r="H64" s="537"/>
      <c r="I64" s="537"/>
      <c r="J64" s="537"/>
      <c r="K64" s="329"/>
      <c r="L64" s="128"/>
      <c r="M64" s="329"/>
      <c r="O64" s="531"/>
      <c r="P64" s="127"/>
      <c r="Q64" s="328"/>
      <c r="R64" s="596"/>
    </row>
    <row r="65" spans="2:17" ht="16.5" thickBot="1">
      <c r="G65" s="1000" t="s">
        <v>444</v>
      </c>
      <c r="H65" s="1001"/>
      <c r="I65" s="1001"/>
      <c r="J65" s="1002"/>
      <c r="K65" s="27" t="s">
        <v>9</v>
      </c>
      <c r="L65" s="201" t="e">
        <f>+P59</f>
        <v>#REF!</v>
      </c>
      <c r="M65" s="28"/>
      <c r="O65" s="493"/>
      <c r="P65" s="493"/>
      <c r="Q65" s="812"/>
    </row>
    <row r="66" spans="2:17" ht="13.5" thickBot="1">
      <c r="F66" s="327"/>
      <c r="G66" s="327"/>
      <c r="H66" s="327"/>
      <c r="I66" s="327"/>
      <c r="J66" s="327"/>
      <c r="K66" s="327"/>
      <c r="L66" s="130"/>
      <c r="M66" s="327"/>
      <c r="O66" s="493"/>
      <c r="P66" s="493"/>
      <c r="Q66" s="812"/>
    </row>
    <row r="67" spans="2:17" ht="13.5" thickBot="1">
      <c r="K67" s="329"/>
      <c r="L67" s="128"/>
      <c r="M67" s="329"/>
      <c r="O67" s="493"/>
      <c r="P67" s="493"/>
      <c r="Q67" s="812"/>
    </row>
    <row r="68" spans="2:17" ht="16.5" thickBot="1">
      <c r="G68" s="1003" t="s">
        <v>463</v>
      </c>
      <c r="H68" s="1004"/>
      <c r="I68" s="1004"/>
      <c r="J68" s="1005"/>
      <c r="K68" s="27" t="s">
        <v>9</v>
      </c>
      <c r="L68" s="201" t="e">
        <f>+L63-J34</f>
        <v>#REF!</v>
      </c>
      <c r="M68" s="329"/>
      <c r="O68" s="593"/>
      <c r="P68" s="329"/>
      <c r="Q68" s="329"/>
    </row>
    <row r="69" spans="2:17" ht="13.5" thickBot="1">
      <c r="G69" s="537"/>
      <c r="H69" s="537"/>
      <c r="I69" s="537"/>
      <c r="J69" s="537"/>
      <c r="K69" s="329"/>
      <c r="L69" s="128"/>
      <c r="M69" s="329"/>
      <c r="O69" s="593"/>
      <c r="P69" s="329"/>
      <c r="Q69" s="329"/>
    </row>
    <row r="70" spans="2:17" ht="16.5" thickBot="1">
      <c r="G70" s="1003" t="s">
        <v>464</v>
      </c>
      <c r="H70" s="1004"/>
      <c r="I70" s="1004"/>
      <c r="J70" s="1005"/>
      <c r="K70" s="535" t="s">
        <v>9</v>
      </c>
      <c r="L70" s="538" t="e">
        <f>+L65-J35</f>
        <v>#REF!</v>
      </c>
      <c r="M70" s="327"/>
      <c r="O70" s="593"/>
      <c r="P70" s="329"/>
      <c r="Q70" s="329"/>
    </row>
    <row r="71" spans="2:17">
      <c r="K71" s="329"/>
      <c r="L71" s="128"/>
      <c r="M71" s="329"/>
      <c r="O71" s="329"/>
      <c r="P71" s="329"/>
      <c r="Q71" s="329"/>
    </row>
    <row r="72" spans="2:17" ht="15.75">
      <c r="I72" s="5" t="s">
        <v>0</v>
      </c>
      <c r="K72" s="539" t="s">
        <v>9</v>
      </c>
      <c r="L72" s="540" t="e">
        <f>+L68-L70</f>
        <v>#REF!</v>
      </c>
      <c r="M72" s="329"/>
      <c r="O72" s="329"/>
      <c r="P72" s="329"/>
      <c r="Q72" s="329"/>
    </row>
    <row r="73" spans="2:17">
      <c r="K73" s="329"/>
      <c r="L73" s="128"/>
      <c r="M73" s="329"/>
      <c r="O73" s="329"/>
      <c r="P73" s="329"/>
      <c r="Q73" s="329"/>
    </row>
    <row r="75" spans="2:17" ht="15">
      <c r="B75" s="516" t="s">
        <v>438</v>
      </c>
    </row>
  </sheetData>
  <mergeCells count="17">
    <mergeCell ref="L42:M42"/>
    <mergeCell ref="G63:J63"/>
    <mergeCell ref="G65:J65"/>
    <mergeCell ref="G68:J68"/>
    <mergeCell ref="G70:J70"/>
    <mergeCell ref="J42:K42"/>
    <mergeCell ref="E35:H35"/>
    <mergeCell ref="E37:H37"/>
    <mergeCell ref="C42:D42"/>
    <mergeCell ref="E42:F42"/>
    <mergeCell ref="H42:I42"/>
    <mergeCell ref="E34:H34"/>
    <mergeCell ref="A12:P12"/>
    <mergeCell ref="E14:H14"/>
    <mergeCell ref="H16:I16"/>
    <mergeCell ref="J16:K16"/>
    <mergeCell ref="N16:O16"/>
  </mergeCells>
  <printOptions horizontalCentered="1"/>
  <pageMargins left="1.31" right="0.23622047244094491" top="0.70866141732283472" bottom="0.39370078740157483" header="0.31496062992125984" footer="0.31496062992125984"/>
  <pageSetup paperSize="9" scale="70" fitToHeight="2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235"/>
  <sheetViews>
    <sheetView view="pageBreakPreview" topLeftCell="Q178" zoomScale="90" zoomScaleNormal="75" zoomScaleSheetLayoutView="90" workbookViewId="0">
      <selection activeCell="AB206" sqref="AB206"/>
    </sheetView>
  </sheetViews>
  <sheetFormatPr baseColWidth="10" defaultRowHeight="15"/>
  <cols>
    <col min="1" max="1" width="12" style="212" customWidth="1"/>
    <col min="2" max="2" width="56.85546875" style="212" customWidth="1"/>
    <col min="3" max="3" width="7.140625" style="212" bestFit="1" customWidth="1"/>
    <col min="4" max="4" width="11.5703125" style="212" bestFit="1" customWidth="1"/>
    <col min="5" max="5" width="14.5703125" style="212" customWidth="1"/>
    <col min="6" max="6" width="15.42578125" style="212" bestFit="1" customWidth="1"/>
    <col min="7" max="8" width="15.42578125" style="212" customWidth="1"/>
    <col min="9" max="9" width="14.7109375" style="212" customWidth="1"/>
    <col min="10" max="10" width="15.42578125" style="212" customWidth="1"/>
    <col min="11" max="11" width="13" style="212" customWidth="1"/>
    <col min="12" max="12" width="12.140625" style="212" customWidth="1"/>
    <col min="13" max="13" width="13" style="212" customWidth="1"/>
    <col min="14" max="18" width="12.28515625" style="212" customWidth="1"/>
    <col min="19" max="19" width="13.140625" style="212" customWidth="1"/>
    <col min="20" max="20" width="12.28515625" style="212" customWidth="1"/>
    <col min="21" max="22" width="14.140625" style="212" customWidth="1"/>
    <col min="23" max="23" width="13.28515625" style="212" customWidth="1"/>
    <col min="24" max="25" width="14.140625" style="212" customWidth="1"/>
    <col min="26" max="26" width="13.85546875" style="212" customWidth="1"/>
    <col min="27" max="27" width="13.7109375" style="212" customWidth="1"/>
    <col min="28" max="28" width="13.5703125" style="310" customWidth="1"/>
    <col min="29" max="29" width="12.7109375" style="310" customWidth="1"/>
    <col min="30" max="30" width="17.85546875" style="212" customWidth="1"/>
    <col min="31" max="31" width="14.7109375" style="311" customWidth="1"/>
    <col min="32" max="32" width="16.5703125" style="212" customWidth="1"/>
    <col min="33" max="33" width="17.42578125" style="212" bestFit="1" customWidth="1"/>
    <col min="34" max="34" width="15.140625" style="212" customWidth="1"/>
    <col min="35" max="16384" width="11.42578125" style="212"/>
  </cols>
  <sheetData>
    <row r="1" spans="1:34" ht="15" customHeight="1">
      <c r="A1" s="1006" t="s">
        <v>436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</row>
    <row r="2" spans="1:34" ht="21" customHeight="1">
      <c r="A2" s="1006"/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</row>
    <row r="3" spans="1:34" ht="21" customHeight="1">
      <c r="A3" s="546" t="s">
        <v>46</v>
      </c>
      <c r="B3" s="547" t="s">
        <v>340</v>
      </c>
      <c r="C3" s="548"/>
      <c r="D3" s="548"/>
      <c r="E3" s="548"/>
      <c r="F3" s="548"/>
      <c r="G3" s="548"/>
      <c r="H3" s="548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4"/>
      <c r="AC3" s="214"/>
      <c r="AD3" s="213"/>
      <c r="AE3" s="213"/>
    </row>
    <row r="4" spans="1:34" ht="21" customHeight="1">
      <c r="A4" s="546" t="s">
        <v>32</v>
      </c>
      <c r="B4" s="548" t="s">
        <v>341</v>
      </c>
      <c r="C4" s="548"/>
      <c r="D4" s="548"/>
      <c r="E4" s="548"/>
      <c r="F4" s="548"/>
      <c r="G4" s="548"/>
      <c r="H4" s="548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4"/>
      <c r="AC4" s="214"/>
      <c r="AD4" s="213"/>
      <c r="AE4" s="213"/>
    </row>
    <row r="5" spans="1:34" ht="21" customHeight="1">
      <c r="A5" s="546" t="s">
        <v>342</v>
      </c>
      <c r="B5" s="548" t="s">
        <v>343</v>
      </c>
      <c r="C5" s="548"/>
      <c r="D5" s="548"/>
      <c r="E5" s="548"/>
      <c r="F5" s="548"/>
      <c r="G5" s="548"/>
      <c r="H5" s="548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4"/>
      <c r="AC5" s="214"/>
      <c r="AD5" s="213"/>
      <c r="AE5" s="213"/>
    </row>
    <row r="6" spans="1:34" s="222" customFormat="1" ht="18.75">
      <c r="A6" s="546" t="s">
        <v>344</v>
      </c>
      <c r="B6" s="548" t="s">
        <v>345</v>
      </c>
      <c r="C6" s="215"/>
      <c r="D6" s="216"/>
      <c r="E6" s="215"/>
      <c r="F6" s="217"/>
      <c r="G6" s="217"/>
      <c r="H6" s="217"/>
      <c r="I6" s="218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220"/>
      <c r="AD6" s="219"/>
      <c r="AE6" s="221"/>
    </row>
    <row r="7" spans="1:34" s="222" customFormat="1" ht="11.25" customHeight="1" thickBo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23"/>
      <c r="AC7" s="223"/>
      <c r="AD7" s="218"/>
      <c r="AE7" s="224"/>
    </row>
    <row r="8" spans="1:34" s="550" customFormat="1" ht="21" customHeight="1">
      <c r="A8" s="1007" t="s">
        <v>21</v>
      </c>
      <c r="B8" s="1009" t="s">
        <v>65</v>
      </c>
      <c r="C8" s="1011" t="s">
        <v>346</v>
      </c>
      <c r="D8" s="1013" t="s">
        <v>347</v>
      </c>
      <c r="E8" s="1013" t="s">
        <v>348</v>
      </c>
      <c r="F8" s="1015" t="s">
        <v>57</v>
      </c>
      <c r="G8" s="1017" t="s">
        <v>450</v>
      </c>
      <c r="H8" s="1017" t="s">
        <v>451</v>
      </c>
      <c r="I8" s="1019">
        <v>41498</v>
      </c>
      <c r="J8" s="1021">
        <v>41518</v>
      </c>
      <c r="K8" s="1021">
        <v>41548</v>
      </c>
      <c r="L8" s="1021">
        <v>41579</v>
      </c>
      <c r="M8" s="1021">
        <v>41609</v>
      </c>
      <c r="N8" s="1021">
        <v>41640</v>
      </c>
      <c r="O8" s="1021">
        <v>41671</v>
      </c>
      <c r="P8" s="1021">
        <v>41699</v>
      </c>
      <c r="Q8" s="1021">
        <v>41730</v>
      </c>
      <c r="R8" s="1021">
        <v>41760</v>
      </c>
      <c r="S8" s="1021">
        <v>41791</v>
      </c>
      <c r="T8" s="1021">
        <v>41821</v>
      </c>
      <c r="U8" s="1021">
        <v>41852</v>
      </c>
      <c r="V8" s="1021">
        <v>41883</v>
      </c>
      <c r="W8" s="1021">
        <v>41913</v>
      </c>
      <c r="X8" s="1021">
        <v>41944</v>
      </c>
      <c r="Y8" s="1021">
        <v>41974</v>
      </c>
      <c r="Z8" s="1021">
        <v>42005</v>
      </c>
      <c r="AA8" s="1021">
        <v>42036</v>
      </c>
      <c r="AB8" s="1021">
        <v>42064</v>
      </c>
      <c r="AC8" s="1021">
        <v>42109</v>
      </c>
      <c r="AD8" s="1021" t="s">
        <v>461</v>
      </c>
      <c r="AE8" s="225" t="s">
        <v>0</v>
      </c>
      <c r="AF8" s="549"/>
      <c r="AG8" s="549"/>
    </row>
    <row r="9" spans="1:34" s="227" customFormat="1" ht="16.5" customHeight="1" thickBot="1">
      <c r="A9" s="1008"/>
      <c r="B9" s="1010"/>
      <c r="C9" s="1012"/>
      <c r="D9" s="1014"/>
      <c r="E9" s="1014"/>
      <c r="F9" s="1016"/>
      <c r="G9" s="1018"/>
      <c r="H9" s="1018"/>
      <c r="I9" s="1020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226"/>
      <c r="AF9" s="332"/>
      <c r="AG9" s="332"/>
    </row>
    <row r="10" spans="1:34" s="234" customFormat="1" ht="18" customHeight="1">
      <c r="A10" s="228"/>
      <c r="B10" s="229"/>
      <c r="C10" s="230"/>
      <c r="D10" s="231"/>
      <c r="E10" s="231"/>
      <c r="F10" s="343"/>
      <c r="G10" s="597"/>
      <c r="H10" s="598"/>
      <c r="I10" s="599"/>
      <c r="J10" s="551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3"/>
      <c r="AC10" s="233"/>
      <c r="AD10" s="358"/>
      <c r="AE10" s="354"/>
      <c r="AF10" s="254"/>
      <c r="AG10" s="333"/>
    </row>
    <row r="11" spans="1:34" s="234" customFormat="1" ht="18" customHeight="1">
      <c r="A11" s="313" t="s">
        <v>363</v>
      </c>
      <c r="B11" s="312" t="s">
        <v>367</v>
      </c>
      <c r="C11" s="237"/>
      <c r="D11" s="203"/>
      <c r="E11" s="203"/>
      <c r="F11" s="344"/>
      <c r="G11" s="600"/>
      <c r="H11" s="601"/>
      <c r="I11" s="602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2"/>
      <c r="AE11" s="355"/>
      <c r="AF11" s="254"/>
      <c r="AG11" s="333"/>
    </row>
    <row r="12" spans="1:34" s="234" customFormat="1" ht="18" customHeight="1">
      <c r="A12" s="235" t="s">
        <v>131</v>
      </c>
      <c r="B12" s="236" t="s">
        <v>132</v>
      </c>
      <c r="C12" s="237"/>
      <c r="D12" s="203"/>
      <c r="E12" s="203"/>
      <c r="F12" s="345"/>
      <c r="G12" s="603"/>
      <c r="H12" s="604"/>
      <c r="I12" s="602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2"/>
      <c r="AE12" s="356"/>
      <c r="AF12" s="254"/>
      <c r="AG12" s="333"/>
    </row>
    <row r="13" spans="1:34" s="234" customFormat="1" ht="18" customHeight="1">
      <c r="A13" s="238" t="s">
        <v>68</v>
      </c>
      <c r="B13" s="239" t="s">
        <v>69</v>
      </c>
      <c r="C13" s="553" t="s">
        <v>70</v>
      </c>
      <c r="D13" s="554">
        <v>1</v>
      </c>
      <c r="E13" s="554">
        <v>169198.63</v>
      </c>
      <c r="F13" s="605">
        <f t="shared" ref="F13:F75" si="0">ROUND(D13*E13,2)</f>
        <v>169198.63</v>
      </c>
      <c r="G13" s="606"/>
      <c r="H13" s="385">
        <f>+F13-G13</f>
        <v>169198.63</v>
      </c>
      <c r="I13" s="607">
        <v>84599.32</v>
      </c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6">
        <v>84599.31</v>
      </c>
      <c r="AE13" s="357">
        <f t="shared" ref="AE13:AE18" si="1">SUM(I13:AD13)</f>
        <v>169198.63</v>
      </c>
      <c r="AF13" s="254"/>
      <c r="AG13" s="254">
        <f>SUM(I13:AD13)</f>
        <v>169198.63</v>
      </c>
      <c r="AH13" s="240">
        <f t="shared" ref="AH13:AH76" si="2">+F13-AG13</f>
        <v>0</v>
      </c>
    </row>
    <row r="14" spans="1:34" s="234" customFormat="1" ht="18" customHeight="1">
      <c r="A14" s="238" t="s">
        <v>71</v>
      </c>
      <c r="B14" s="239" t="s">
        <v>72</v>
      </c>
      <c r="C14" s="553" t="s">
        <v>73</v>
      </c>
      <c r="D14" s="554">
        <v>3.79</v>
      </c>
      <c r="E14" s="554">
        <v>607.13</v>
      </c>
      <c r="F14" s="605">
        <f t="shared" si="0"/>
        <v>2301.02</v>
      </c>
      <c r="G14" s="606"/>
      <c r="H14" s="385">
        <f t="shared" ref="H14:H77" si="3">+F14-G14</f>
        <v>2301.02</v>
      </c>
      <c r="I14" s="607">
        <v>2301.02</v>
      </c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6"/>
      <c r="AE14" s="357">
        <f t="shared" si="1"/>
        <v>2301.02</v>
      </c>
      <c r="AF14" s="254"/>
      <c r="AG14" s="254">
        <f t="shared" ref="AG14:AG77" si="4">SUM(I14:AD14)</f>
        <v>2301.02</v>
      </c>
      <c r="AH14" s="240">
        <f t="shared" si="2"/>
        <v>0</v>
      </c>
    </row>
    <row r="15" spans="1:34" s="234" customFormat="1" ht="18" customHeight="1">
      <c r="A15" s="238" t="s">
        <v>74</v>
      </c>
      <c r="B15" s="239" t="s">
        <v>75</v>
      </c>
      <c r="C15" s="553" t="s">
        <v>73</v>
      </c>
      <c r="D15" s="554">
        <v>41.5</v>
      </c>
      <c r="E15" s="554">
        <v>4644.3500000000004</v>
      </c>
      <c r="F15" s="605">
        <f t="shared" si="0"/>
        <v>192740.53</v>
      </c>
      <c r="G15" s="606"/>
      <c r="H15" s="385">
        <f t="shared" si="3"/>
        <v>192740.53</v>
      </c>
      <c r="I15" s="607">
        <v>129136.16</v>
      </c>
      <c r="J15" s="555">
        <v>63604.37</v>
      </c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6"/>
      <c r="AE15" s="357">
        <f t="shared" si="1"/>
        <v>192740.53</v>
      </c>
      <c r="AF15" s="254"/>
      <c r="AG15" s="254">
        <f t="shared" si="4"/>
        <v>192740.53</v>
      </c>
      <c r="AH15" s="240">
        <f t="shared" si="2"/>
        <v>0</v>
      </c>
    </row>
    <row r="16" spans="1:34" s="234" customFormat="1" ht="18" customHeight="1">
      <c r="A16" s="238" t="s">
        <v>76</v>
      </c>
      <c r="B16" s="239" t="s">
        <v>77</v>
      </c>
      <c r="C16" s="553" t="s">
        <v>70</v>
      </c>
      <c r="D16" s="554">
        <v>1</v>
      </c>
      <c r="E16" s="554">
        <v>54771.28</v>
      </c>
      <c r="F16" s="605">
        <f t="shared" si="0"/>
        <v>54771.28</v>
      </c>
      <c r="G16" s="606"/>
      <c r="H16" s="385">
        <f t="shared" si="3"/>
        <v>54771.28</v>
      </c>
      <c r="I16" s="607">
        <v>3423.21</v>
      </c>
      <c r="J16" s="555">
        <v>3760.13</v>
      </c>
      <c r="K16" s="555">
        <v>3638.84</v>
      </c>
      <c r="L16" s="555">
        <v>3760.13</v>
      </c>
      <c r="M16" s="555">
        <v>3638.84</v>
      </c>
      <c r="N16" s="555"/>
      <c r="O16" s="555"/>
      <c r="P16" s="555">
        <v>3760.13</v>
      </c>
      <c r="Q16" s="555">
        <v>3760.13</v>
      </c>
      <c r="R16" s="555">
        <v>3396.25</v>
      </c>
      <c r="S16" s="555">
        <v>3760.13</v>
      </c>
      <c r="T16" s="555">
        <v>3638.84</v>
      </c>
      <c r="U16" s="555">
        <v>3760.13</v>
      </c>
      <c r="V16" s="555"/>
      <c r="X16" s="555">
        <v>3638.84</v>
      </c>
      <c r="Y16" s="555">
        <v>3760.13</v>
      </c>
      <c r="Z16" s="555">
        <v>3760.13</v>
      </c>
      <c r="AA16" s="555">
        <v>3315.42</v>
      </c>
      <c r="AB16" s="555"/>
      <c r="AC16" s="555"/>
      <c r="AD16" s="556"/>
      <c r="AE16" s="357">
        <f t="shared" si="1"/>
        <v>54771.28</v>
      </c>
      <c r="AF16" s="254"/>
      <c r="AG16" s="254">
        <f t="shared" si="4"/>
        <v>54771.28</v>
      </c>
      <c r="AH16" s="240">
        <f t="shared" si="2"/>
        <v>0</v>
      </c>
    </row>
    <row r="17" spans="1:34" s="234" customFormat="1" ht="18" customHeight="1">
      <c r="A17" s="238" t="s">
        <v>78</v>
      </c>
      <c r="B17" s="239" t="s">
        <v>79</v>
      </c>
      <c r="C17" s="553" t="s">
        <v>70</v>
      </c>
      <c r="D17" s="554">
        <v>1</v>
      </c>
      <c r="E17" s="554">
        <v>74280</v>
      </c>
      <c r="F17" s="605">
        <f t="shared" si="0"/>
        <v>74280</v>
      </c>
      <c r="G17" s="606"/>
      <c r="H17" s="385">
        <f t="shared" si="3"/>
        <v>74280</v>
      </c>
      <c r="I17" s="607">
        <v>4642.5</v>
      </c>
      <c r="J17" s="555">
        <v>5099.4399999999996</v>
      </c>
      <c r="K17" s="555">
        <v>4934.9399999999996</v>
      </c>
      <c r="L17" s="555">
        <v>5099.4399999999996</v>
      </c>
      <c r="M17" s="555">
        <v>4934.9399999999996</v>
      </c>
      <c r="N17" s="555"/>
      <c r="O17" s="555"/>
      <c r="P17" s="555">
        <v>5099.4399999999996</v>
      </c>
      <c r="Q17" s="555">
        <v>5099.4399999999996</v>
      </c>
      <c r="R17" s="555">
        <v>4605.9399999999996</v>
      </c>
      <c r="S17" s="555">
        <v>5099.4399999999996</v>
      </c>
      <c r="T17" s="555">
        <v>4934.9399999999996</v>
      </c>
      <c r="U17" s="555">
        <v>5099.4399999999996</v>
      </c>
      <c r="V17" s="555"/>
      <c r="X17" s="555">
        <v>4934.9399999999996</v>
      </c>
      <c r="Y17" s="555">
        <v>5099.4399999999996</v>
      </c>
      <c r="Z17" s="555">
        <v>5099.4399999999996</v>
      </c>
      <c r="AA17" s="555">
        <v>4496.28</v>
      </c>
      <c r="AB17" s="555"/>
      <c r="AC17" s="555"/>
      <c r="AD17" s="556"/>
      <c r="AE17" s="357">
        <f t="shared" si="1"/>
        <v>74280</v>
      </c>
      <c r="AF17" s="254"/>
      <c r="AG17" s="254">
        <f t="shared" si="4"/>
        <v>74280</v>
      </c>
      <c r="AH17" s="240">
        <f t="shared" si="2"/>
        <v>0</v>
      </c>
    </row>
    <row r="18" spans="1:34" s="234" customFormat="1" ht="18" customHeight="1">
      <c r="A18" s="238" t="s">
        <v>80</v>
      </c>
      <c r="B18" s="239" t="s">
        <v>81</v>
      </c>
      <c r="C18" s="553" t="s">
        <v>56</v>
      </c>
      <c r="D18" s="554">
        <v>1</v>
      </c>
      <c r="E18" s="554">
        <v>1305.05</v>
      </c>
      <c r="F18" s="605">
        <f t="shared" si="0"/>
        <v>1305.05</v>
      </c>
      <c r="G18" s="606"/>
      <c r="H18" s="385">
        <f t="shared" si="3"/>
        <v>1305.05</v>
      </c>
      <c r="I18" s="607">
        <v>1305.05</v>
      </c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6"/>
      <c r="AE18" s="357">
        <f t="shared" si="1"/>
        <v>1305.05</v>
      </c>
      <c r="AF18" s="254"/>
      <c r="AG18" s="254">
        <f t="shared" si="4"/>
        <v>1305.05</v>
      </c>
      <c r="AH18" s="240">
        <f t="shared" si="2"/>
        <v>0</v>
      </c>
    </row>
    <row r="19" spans="1:34" s="234" customFormat="1" ht="18" customHeight="1">
      <c r="A19" s="235" t="s">
        <v>82</v>
      </c>
      <c r="B19" s="241" t="s">
        <v>83</v>
      </c>
      <c r="C19" s="242"/>
      <c r="D19" s="243"/>
      <c r="E19" s="243"/>
      <c r="F19" s="605"/>
      <c r="G19" s="606"/>
      <c r="H19" s="385">
        <f t="shared" si="3"/>
        <v>0</v>
      </c>
      <c r="I19" s="607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6"/>
      <c r="AE19" s="357"/>
      <c r="AF19" s="254"/>
      <c r="AG19" s="254">
        <f t="shared" si="4"/>
        <v>0</v>
      </c>
      <c r="AH19" s="240">
        <f t="shared" si="2"/>
        <v>0</v>
      </c>
    </row>
    <row r="20" spans="1:34" s="234" customFormat="1" ht="18" customHeight="1">
      <c r="A20" s="244" t="s">
        <v>84</v>
      </c>
      <c r="B20" s="245" t="s">
        <v>85</v>
      </c>
      <c r="C20" s="557"/>
      <c r="D20" s="558"/>
      <c r="E20" s="558"/>
      <c r="F20" s="605"/>
      <c r="G20" s="606"/>
      <c r="H20" s="385">
        <f t="shared" si="3"/>
        <v>0</v>
      </c>
      <c r="I20" s="607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6"/>
      <c r="AE20" s="357"/>
      <c r="AF20" s="254"/>
      <c r="AG20" s="254">
        <f t="shared" si="4"/>
        <v>0</v>
      </c>
      <c r="AH20" s="240">
        <f t="shared" si="2"/>
        <v>0</v>
      </c>
    </row>
    <row r="21" spans="1:34" s="234" customFormat="1" ht="18" customHeight="1">
      <c r="A21" s="238" t="s">
        <v>86</v>
      </c>
      <c r="B21" s="246" t="s">
        <v>87</v>
      </c>
      <c r="C21" s="553" t="s">
        <v>59</v>
      </c>
      <c r="D21" s="554">
        <v>2102.87</v>
      </c>
      <c r="E21" s="554">
        <v>2.4700000000000002</v>
      </c>
      <c r="F21" s="605">
        <f t="shared" si="0"/>
        <v>5194.09</v>
      </c>
      <c r="G21" s="606">
        <v>4126.55</v>
      </c>
      <c r="H21" s="385">
        <f t="shared" si="3"/>
        <v>1067.54</v>
      </c>
      <c r="I21" s="607"/>
      <c r="J21" s="555">
        <v>5194.09</v>
      </c>
      <c r="K21" s="555"/>
      <c r="L21" s="555"/>
      <c r="M21" s="555"/>
      <c r="N21" s="555"/>
      <c r="O21" s="555"/>
      <c r="P21" s="555"/>
      <c r="Q21" s="555"/>
      <c r="R21" s="555">
        <v>-4126.55</v>
      </c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6"/>
      <c r="AE21" s="357">
        <f t="shared" ref="AE21:AE26" si="5">SUM(I21:AD21)</f>
        <v>1067.54</v>
      </c>
      <c r="AF21" s="254"/>
      <c r="AG21" s="254">
        <f t="shared" si="4"/>
        <v>1067.54</v>
      </c>
      <c r="AH21" s="240">
        <f t="shared" si="2"/>
        <v>4126.55</v>
      </c>
    </row>
    <row r="22" spans="1:34" s="234" customFormat="1" ht="18" customHeight="1">
      <c r="A22" s="238" t="s">
        <v>88</v>
      </c>
      <c r="B22" s="246" t="s">
        <v>89</v>
      </c>
      <c r="C22" s="553" t="s">
        <v>59</v>
      </c>
      <c r="D22" s="554">
        <v>9594.69</v>
      </c>
      <c r="E22" s="554">
        <v>17.36</v>
      </c>
      <c r="F22" s="605">
        <f t="shared" si="0"/>
        <v>166563.82</v>
      </c>
      <c r="G22" s="606">
        <v>932.23</v>
      </c>
      <c r="H22" s="385">
        <f t="shared" si="3"/>
        <v>165631.59</v>
      </c>
      <c r="I22" s="607"/>
      <c r="J22" s="555">
        <v>166563.82</v>
      </c>
      <c r="K22" s="555"/>
      <c r="L22" s="555"/>
      <c r="M22" s="555"/>
      <c r="N22" s="555"/>
      <c r="O22" s="555"/>
      <c r="P22" s="555"/>
      <c r="Q22" s="555"/>
      <c r="R22" s="555">
        <v>-932.23</v>
      </c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6"/>
      <c r="AE22" s="357">
        <f t="shared" si="5"/>
        <v>165631.59</v>
      </c>
      <c r="AF22" s="254"/>
      <c r="AG22" s="254">
        <f t="shared" si="4"/>
        <v>165631.59</v>
      </c>
      <c r="AH22" s="240">
        <f t="shared" si="2"/>
        <v>932.23000000001048</v>
      </c>
    </row>
    <row r="23" spans="1:34" s="234" customFormat="1" ht="18" customHeight="1">
      <c r="A23" s="238" t="s">
        <v>90</v>
      </c>
      <c r="B23" s="246" t="s">
        <v>91</v>
      </c>
      <c r="C23" s="553" t="s">
        <v>59</v>
      </c>
      <c r="D23" s="554">
        <v>843.23</v>
      </c>
      <c r="E23" s="554">
        <v>29.14</v>
      </c>
      <c r="F23" s="605">
        <f t="shared" si="0"/>
        <v>24571.72</v>
      </c>
      <c r="G23" s="606">
        <v>0</v>
      </c>
      <c r="H23" s="385">
        <f t="shared" si="3"/>
        <v>24571.72</v>
      </c>
      <c r="I23" s="607"/>
      <c r="J23" s="555">
        <v>24571.72</v>
      </c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6"/>
      <c r="AE23" s="357">
        <f t="shared" si="5"/>
        <v>24571.72</v>
      </c>
      <c r="AF23" s="254"/>
      <c r="AG23" s="254">
        <f t="shared" si="4"/>
        <v>24571.72</v>
      </c>
      <c r="AH23" s="240">
        <f t="shared" si="2"/>
        <v>0</v>
      </c>
    </row>
    <row r="24" spans="1:34" s="234" customFormat="1" ht="18" customHeight="1">
      <c r="A24" s="238" t="s">
        <v>92</v>
      </c>
      <c r="B24" s="246" t="s">
        <v>93</v>
      </c>
      <c r="C24" s="553" t="s">
        <v>59</v>
      </c>
      <c r="D24" s="554">
        <v>1728.95</v>
      </c>
      <c r="E24" s="554">
        <v>5.69</v>
      </c>
      <c r="F24" s="605">
        <f t="shared" si="0"/>
        <v>9837.73</v>
      </c>
      <c r="G24" s="606">
        <v>88.48</v>
      </c>
      <c r="H24" s="385">
        <f t="shared" si="3"/>
        <v>9749.25</v>
      </c>
      <c r="I24" s="607"/>
      <c r="J24" s="555">
        <v>1598.63</v>
      </c>
      <c r="K24" s="555">
        <v>8239.1</v>
      </c>
      <c r="L24" s="555"/>
      <c r="M24" s="555"/>
      <c r="N24" s="555"/>
      <c r="O24" s="555"/>
      <c r="P24" s="555"/>
      <c r="Q24" s="555"/>
      <c r="R24" s="555">
        <v>-88.48</v>
      </c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6"/>
      <c r="AE24" s="357">
        <f t="shared" si="5"/>
        <v>9749.25</v>
      </c>
      <c r="AF24" s="254"/>
      <c r="AG24" s="254">
        <f t="shared" si="4"/>
        <v>9749.25</v>
      </c>
      <c r="AH24" s="240">
        <f t="shared" si="2"/>
        <v>88.479999999999563</v>
      </c>
    </row>
    <row r="25" spans="1:34" s="234" customFormat="1" ht="18" customHeight="1">
      <c r="A25" s="238" t="s">
        <v>94</v>
      </c>
      <c r="B25" s="246" t="s">
        <v>95</v>
      </c>
      <c r="C25" s="553" t="s">
        <v>59</v>
      </c>
      <c r="D25" s="554">
        <v>2341.7600000000002</v>
      </c>
      <c r="E25" s="554">
        <v>52.85</v>
      </c>
      <c r="F25" s="605">
        <f t="shared" si="0"/>
        <v>123762.02</v>
      </c>
      <c r="G25" s="606">
        <v>44242.32</v>
      </c>
      <c r="H25" s="385">
        <f t="shared" si="3"/>
        <v>79519.700000000012</v>
      </c>
      <c r="I25" s="607"/>
      <c r="J25" s="555"/>
      <c r="K25" s="555">
        <v>123762.02</v>
      </c>
      <c r="L25" s="555"/>
      <c r="M25" s="555"/>
      <c r="N25" s="555"/>
      <c r="O25" s="555"/>
      <c r="P25" s="555"/>
      <c r="Q25" s="555"/>
      <c r="R25" s="555">
        <v>-44242.32</v>
      </c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6"/>
      <c r="AE25" s="357">
        <f t="shared" si="5"/>
        <v>79519.700000000012</v>
      </c>
      <c r="AF25" s="254"/>
      <c r="AG25" s="254">
        <f t="shared" si="4"/>
        <v>79519.700000000012</v>
      </c>
      <c r="AH25" s="240">
        <f t="shared" si="2"/>
        <v>44242.319999999992</v>
      </c>
    </row>
    <row r="26" spans="1:34" s="234" customFormat="1" ht="18" customHeight="1">
      <c r="A26" s="238" t="s">
        <v>96</v>
      </c>
      <c r="B26" s="246" t="s">
        <v>97</v>
      </c>
      <c r="C26" s="553" t="s">
        <v>59</v>
      </c>
      <c r="D26" s="554">
        <v>10811.84</v>
      </c>
      <c r="E26" s="554">
        <v>10.58</v>
      </c>
      <c r="F26" s="605">
        <f t="shared" si="0"/>
        <v>114389.27</v>
      </c>
      <c r="G26" s="606">
        <v>18079.32</v>
      </c>
      <c r="H26" s="385">
        <f t="shared" si="3"/>
        <v>96309.950000000012</v>
      </c>
      <c r="I26" s="607"/>
      <c r="J26" s="555">
        <v>30980.43</v>
      </c>
      <c r="K26" s="555">
        <v>83408.84</v>
      </c>
      <c r="L26" s="555"/>
      <c r="M26" s="555"/>
      <c r="N26" s="555"/>
      <c r="O26" s="555"/>
      <c r="P26" s="555"/>
      <c r="Q26" s="555"/>
      <c r="R26" s="555">
        <v>-18079.32</v>
      </c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6"/>
      <c r="AE26" s="357">
        <f t="shared" si="5"/>
        <v>96309.949999999983</v>
      </c>
      <c r="AF26" s="254"/>
      <c r="AG26" s="254">
        <f t="shared" si="4"/>
        <v>96309.949999999983</v>
      </c>
      <c r="AH26" s="240">
        <f t="shared" si="2"/>
        <v>18079.320000000022</v>
      </c>
    </row>
    <row r="27" spans="1:34" s="234" customFormat="1" ht="18" customHeight="1">
      <c r="A27" s="235" t="s">
        <v>98</v>
      </c>
      <c r="B27" s="241" t="s">
        <v>99</v>
      </c>
      <c r="C27" s="242"/>
      <c r="D27" s="243"/>
      <c r="E27" s="243"/>
      <c r="F27" s="605"/>
      <c r="G27" s="606"/>
      <c r="H27" s="385">
        <f>+F27-G27</f>
        <v>0</v>
      </c>
      <c r="I27" s="607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6"/>
      <c r="AE27" s="357"/>
      <c r="AF27" s="254"/>
      <c r="AG27" s="254">
        <f t="shared" si="4"/>
        <v>0</v>
      </c>
      <c r="AH27" s="240">
        <f t="shared" si="2"/>
        <v>0</v>
      </c>
    </row>
    <row r="28" spans="1:34" s="234" customFormat="1" ht="18" customHeight="1">
      <c r="A28" s="244" t="s">
        <v>100</v>
      </c>
      <c r="B28" s="245" t="s">
        <v>85</v>
      </c>
      <c r="C28" s="557"/>
      <c r="D28" s="558"/>
      <c r="E28" s="558"/>
      <c r="F28" s="605"/>
      <c r="G28" s="606"/>
      <c r="H28" s="385">
        <f t="shared" si="3"/>
        <v>0</v>
      </c>
      <c r="I28" s="607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6"/>
      <c r="AE28" s="357"/>
      <c r="AF28" s="254"/>
      <c r="AG28" s="254">
        <f t="shared" si="4"/>
        <v>0</v>
      </c>
      <c r="AH28" s="240">
        <f t="shared" si="2"/>
        <v>0</v>
      </c>
    </row>
    <row r="29" spans="1:34" s="234" customFormat="1" ht="18" customHeight="1">
      <c r="A29" s="238" t="s">
        <v>101</v>
      </c>
      <c r="B29" s="246" t="s">
        <v>87</v>
      </c>
      <c r="C29" s="553" t="s">
        <v>59</v>
      </c>
      <c r="D29" s="554">
        <v>100.19</v>
      </c>
      <c r="E29" s="554">
        <v>2.4700000000000002</v>
      </c>
      <c r="F29" s="605">
        <f t="shared" si="0"/>
        <v>247.47</v>
      </c>
      <c r="G29" s="606"/>
      <c r="H29" s="385">
        <f t="shared" si="3"/>
        <v>247.47</v>
      </c>
      <c r="I29" s="607"/>
      <c r="J29" s="555">
        <v>40.21</v>
      </c>
      <c r="K29" s="555">
        <v>207.26</v>
      </c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6"/>
      <c r="AE29" s="357">
        <f t="shared" ref="AE29:AE34" si="6">SUM(I29:AD29)</f>
        <v>247.47</v>
      </c>
      <c r="AF29" s="254"/>
      <c r="AG29" s="254">
        <f t="shared" si="4"/>
        <v>247.47</v>
      </c>
      <c r="AH29" s="240">
        <f t="shared" si="2"/>
        <v>0</v>
      </c>
    </row>
    <row r="30" spans="1:34" s="234" customFormat="1" ht="18" customHeight="1">
      <c r="A30" s="238" t="s">
        <v>102</v>
      </c>
      <c r="B30" s="246" t="s">
        <v>89</v>
      </c>
      <c r="C30" s="553" t="s">
        <v>59</v>
      </c>
      <c r="D30" s="554">
        <v>150.29</v>
      </c>
      <c r="E30" s="554">
        <v>17.36</v>
      </c>
      <c r="F30" s="605">
        <f t="shared" si="0"/>
        <v>2609.0300000000002</v>
      </c>
      <c r="G30" s="606"/>
      <c r="H30" s="385">
        <f t="shared" si="3"/>
        <v>2609.0300000000002</v>
      </c>
      <c r="I30" s="607"/>
      <c r="J30" s="555"/>
      <c r="K30" s="555">
        <v>2609.0300000000002</v>
      </c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6"/>
      <c r="AE30" s="357">
        <f t="shared" si="6"/>
        <v>2609.0300000000002</v>
      </c>
      <c r="AF30" s="254"/>
      <c r="AG30" s="254">
        <f t="shared" si="4"/>
        <v>2609.0300000000002</v>
      </c>
      <c r="AH30" s="240">
        <f t="shared" si="2"/>
        <v>0</v>
      </c>
    </row>
    <row r="31" spans="1:34" s="234" customFormat="1" ht="18" customHeight="1">
      <c r="A31" s="238" t="s">
        <v>103</v>
      </c>
      <c r="B31" s="246" t="s">
        <v>104</v>
      </c>
      <c r="C31" s="553" t="s">
        <v>59</v>
      </c>
      <c r="D31" s="554">
        <v>300</v>
      </c>
      <c r="E31" s="554">
        <v>51.35</v>
      </c>
      <c r="F31" s="605">
        <f t="shared" si="0"/>
        <v>15405</v>
      </c>
      <c r="G31" s="606"/>
      <c r="H31" s="385">
        <f t="shared" si="3"/>
        <v>15405</v>
      </c>
      <c r="I31" s="607"/>
      <c r="J31" s="555"/>
      <c r="K31" s="555">
        <v>15405</v>
      </c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6"/>
      <c r="AE31" s="357">
        <f t="shared" si="6"/>
        <v>15405</v>
      </c>
      <c r="AF31" s="254"/>
      <c r="AG31" s="254">
        <f t="shared" si="4"/>
        <v>15405</v>
      </c>
      <c r="AH31" s="240">
        <f t="shared" si="2"/>
        <v>0</v>
      </c>
    </row>
    <row r="32" spans="1:34" s="234" customFormat="1" ht="18" customHeight="1">
      <c r="A32" s="238" t="s">
        <v>105</v>
      </c>
      <c r="B32" s="246" t="s">
        <v>106</v>
      </c>
      <c r="C32" s="553" t="s">
        <v>59</v>
      </c>
      <c r="D32" s="554">
        <v>125.94</v>
      </c>
      <c r="E32" s="554">
        <v>76.91</v>
      </c>
      <c r="F32" s="605">
        <f t="shared" si="0"/>
        <v>9686.0499999999993</v>
      </c>
      <c r="G32" s="606"/>
      <c r="H32" s="385">
        <f t="shared" si="3"/>
        <v>9686.0499999999993</v>
      </c>
      <c r="I32" s="607"/>
      <c r="J32" s="555"/>
      <c r="K32" s="555">
        <v>9686.0499999999993</v>
      </c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6"/>
      <c r="AE32" s="357">
        <f t="shared" si="6"/>
        <v>9686.0499999999993</v>
      </c>
      <c r="AF32" s="254"/>
      <c r="AG32" s="254">
        <f t="shared" si="4"/>
        <v>9686.0499999999993</v>
      </c>
      <c r="AH32" s="240">
        <f t="shared" si="2"/>
        <v>0</v>
      </c>
    </row>
    <row r="33" spans="1:34" s="234" customFormat="1" ht="18" customHeight="1">
      <c r="A33" s="238" t="s">
        <v>107</v>
      </c>
      <c r="B33" s="246" t="s">
        <v>108</v>
      </c>
      <c r="C33" s="553" t="s">
        <v>59</v>
      </c>
      <c r="D33" s="554">
        <v>53.04</v>
      </c>
      <c r="E33" s="554">
        <v>71.8</v>
      </c>
      <c r="F33" s="605">
        <f t="shared" si="0"/>
        <v>3808.27</v>
      </c>
      <c r="G33" s="606"/>
      <c r="H33" s="385">
        <f t="shared" si="3"/>
        <v>3808.27</v>
      </c>
      <c r="I33" s="607"/>
      <c r="J33" s="555"/>
      <c r="K33" s="555">
        <v>3808.27</v>
      </c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6"/>
      <c r="AE33" s="357">
        <f t="shared" si="6"/>
        <v>3808.27</v>
      </c>
      <c r="AF33" s="254"/>
      <c r="AG33" s="254">
        <f t="shared" si="4"/>
        <v>3808.27</v>
      </c>
      <c r="AH33" s="240">
        <f t="shared" si="2"/>
        <v>0</v>
      </c>
    </row>
    <row r="34" spans="1:34" s="234" customFormat="1" ht="18" customHeight="1">
      <c r="A34" s="238" t="s">
        <v>109</v>
      </c>
      <c r="B34" s="246" t="s">
        <v>110</v>
      </c>
      <c r="C34" s="553" t="s">
        <v>59</v>
      </c>
      <c r="D34" s="554">
        <v>250.48</v>
      </c>
      <c r="E34" s="554">
        <v>10.58</v>
      </c>
      <c r="F34" s="605">
        <f t="shared" si="0"/>
        <v>2650.08</v>
      </c>
      <c r="G34" s="606"/>
      <c r="H34" s="385">
        <f t="shared" si="3"/>
        <v>2650.08</v>
      </c>
      <c r="I34" s="607"/>
      <c r="J34" s="555"/>
      <c r="K34" s="555">
        <v>2650.08</v>
      </c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6"/>
      <c r="AE34" s="357">
        <f t="shared" si="6"/>
        <v>2650.08</v>
      </c>
      <c r="AF34" s="254"/>
      <c r="AG34" s="254">
        <f t="shared" si="4"/>
        <v>2650.08</v>
      </c>
      <c r="AH34" s="240">
        <f t="shared" si="2"/>
        <v>0</v>
      </c>
    </row>
    <row r="35" spans="1:34" s="234" customFormat="1" ht="18" customHeight="1">
      <c r="A35" s="244" t="s">
        <v>111</v>
      </c>
      <c r="B35" s="245" t="s">
        <v>112</v>
      </c>
      <c r="C35" s="557"/>
      <c r="D35" s="558"/>
      <c r="E35" s="558"/>
      <c r="F35" s="605"/>
      <c r="G35" s="606"/>
      <c r="H35" s="385">
        <f t="shared" si="3"/>
        <v>0</v>
      </c>
      <c r="I35" s="607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6"/>
      <c r="AE35" s="357"/>
      <c r="AF35" s="254"/>
      <c r="AG35" s="254">
        <f t="shared" si="4"/>
        <v>0</v>
      </c>
      <c r="AH35" s="240">
        <f t="shared" si="2"/>
        <v>0</v>
      </c>
    </row>
    <row r="36" spans="1:34" s="234" customFormat="1" ht="18" customHeight="1">
      <c r="A36" s="238" t="s">
        <v>113</v>
      </c>
      <c r="B36" s="246" t="s">
        <v>114</v>
      </c>
      <c r="C36" s="553" t="s">
        <v>59</v>
      </c>
      <c r="D36" s="554">
        <v>52.12</v>
      </c>
      <c r="E36" s="554">
        <v>371.76</v>
      </c>
      <c r="F36" s="605">
        <f t="shared" si="0"/>
        <v>19376.13</v>
      </c>
      <c r="G36" s="606"/>
      <c r="H36" s="385">
        <f t="shared" si="3"/>
        <v>19376.13</v>
      </c>
      <c r="I36" s="607"/>
      <c r="J36" s="555"/>
      <c r="K36" s="555">
        <v>5207.33</v>
      </c>
      <c r="L36" s="555">
        <v>14168.8</v>
      </c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6"/>
      <c r="AE36" s="357">
        <f>SUM(I36:AD36)</f>
        <v>19376.129999999997</v>
      </c>
      <c r="AF36" s="254"/>
      <c r="AG36" s="254">
        <f t="shared" si="4"/>
        <v>19376.129999999997</v>
      </c>
      <c r="AH36" s="240">
        <f t="shared" si="2"/>
        <v>0</v>
      </c>
    </row>
    <row r="37" spans="1:34" s="234" customFormat="1" ht="18" customHeight="1">
      <c r="A37" s="238" t="s">
        <v>115</v>
      </c>
      <c r="B37" s="246" t="s">
        <v>116</v>
      </c>
      <c r="C37" s="553" t="s">
        <v>58</v>
      </c>
      <c r="D37" s="554">
        <v>115</v>
      </c>
      <c r="E37" s="554">
        <v>117.3</v>
      </c>
      <c r="F37" s="605">
        <f t="shared" si="0"/>
        <v>13489.5</v>
      </c>
      <c r="G37" s="606"/>
      <c r="H37" s="385">
        <f t="shared" si="3"/>
        <v>13489.5</v>
      </c>
      <c r="I37" s="607"/>
      <c r="J37" s="555"/>
      <c r="K37" s="555">
        <v>3625.3</v>
      </c>
      <c r="L37" s="555">
        <v>9864.2000000000007</v>
      </c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6"/>
      <c r="AE37" s="357">
        <f>SUM(I37:AD37)</f>
        <v>13489.5</v>
      </c>
      <c r="AF37" s="254"/>
      <c r="AG37" s="254">
        <f t="shared" si="4"/>
        <v>13489.5</v>
      </c>
      <c r="AH37" s="240">
        <f t="shared" si="2"/>
        <v>0</v>
      </c>
    </row>
    <row r="38" spans="1:34" s="234" customFormat="1" ht="18" customHeight="1">
      <c r="A38" s="244" t="s">
        <v>117</v>
      </c>
      <c r="B38" s="245" t="s">
        <v>118</v>
      </c>
      <c r="C38" s="557"/>
      <c r="D38" s="558"/>
      <c r="E38" s="558"/>
      <c r="F38" s="605"/>
      <c r="G38" s="606"/>
      <c r="H38" s="385">
        <f t="shared" si="3"/>
        <v>0</v>
      </c>
      <c r="I38" s="607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6"/>
      <c r="AE38" s="357"/>
      <c r="AF38" s="254"/>
      <c r="AG38" s="254">
        <f t="shared" si="4"/>
        <v>0</v>
      </c>
      <c r="AH38" s="240">
        <f t="shared" si="2"/>
        <v>0</v>
      </c>
    </row>
    <row r="39" spans="1:34" s="234" customFormat="1" ht="18" customHeight="1">
      <c r="A39" s="238" t="s">
        <v>119</v>
      </c>
      <c r="B39" s="246" t="s">
        <v>120</v>
      </c>
      <c r="C39" s="553" t="s">
        <v>58</v>
      </c>
      <c r="D39" s="554">
        <v>330.75</v>
      </c>
      <c r="E39" s="554">
        <v>56.77</v>
      </c>
      <c r="F39" s="605">
        <f t="shared" si="0"/>
        <v>18776.68</v>
      </c>
      <c r="G39" s="606"/>
      <c r="H39" s="385">
        <f t="shared" si="3"/>
        <v>18776.68</v>
      </c>
      <c r="I39" s="607"/>
      <c r="J39" s="555"/>
      <c r="K39" s="555">
        <v>5046.2299999999996</v>
      </c>
      <c r="L39" s="555">
        <v>13730.45</v>
      </c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6"/>
      <c r="AE39" s="357">
        <f>SUM(I39:AD39)</f>
        <v>18776.68</v>
      </c>
      <c r="AF39" s="254"/>
      <c r="AG39" s="254">
        <f t="shared" si="4"/>
        <v>18776.68</v>
      </c>
      <c r="AH39" s="240">
        <f t="shared" si="2"/>
        <v>0</v>
      </c>
    </row>
    <row r="40" spans="1:34" s="234" customFormat="1" ht="18" customHeight="1">
      <c r="A40" s="244" t="s">
        <v>121</v>
      </c>
      <c r="B40" s="245" t="s">
        <v>122</v>
      </c>
      <c r="C40" s="557"/>
      <c r="D40" s="558"/>
      <c r="E40" s="558"/>
      <c r="F40" s="605"/>
      <c r="G40" s="606"/>
      <c r="H40" s="385">
        <f t="shared" si="3"/>
        <v>0</v>
      </c>
      <c r="I40" s="607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6"/>
      <c r="AE40" s="357"/>
      <c r="AF40" s="254"/>
      <c r="AG40" s="254">
        <f t="shared" si="4"/>
        <v>0</v>
      </c>
      <c r="AH40" s="240">
        <f t="shared" si="2"/>
        <v>0</v>
      </c>
    </row>
    <row r="41" spans="1:34" s="234" customFormat="1" ht="18" customHeight="1">
      <c r="A41" s="238" t="s">
        <v>123</v>
      </c>
      <c r="B41" s="246" t="s">
        <v>124</v>
      </c>
      <c r="C41" s="553" t="s">
        <v>125</v>
      </c>
      <c r="D41" s="554">
        <v>42.12</v>
      </c>
      <c r="E41" s="554">
        <v>1228.5999999999999</v>
      </c>
      <c r="F41" s="605">
        <f t="shared" si="0"/>
        <v>51748.63</v>
      </c>
      <c r="G41" s="606"/>
      <c r="H41" s="385">
        <f t="shared" si="3"/>
        <v>51748.63</v>
      </c>
      <c r="I41" s="607"/>
      <c r="J41" s="555"/>
      <c r="K41" s="555">
        <v>51748.63</v>
      </c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6"/>
      <c r="AE41" s="357">
        <f>SUM(I41:AD41)</f>
        <v>51748.63</v>
      </c>
      <c r="AF41" s="254"/>
      <c r="AG41" s="254">
        <f t="shared" si="4"/>
        <v>51748.63</v>
      </c>
      <c r="AH41" s="240">
        <f t="shared" si="2"/>
        <v>0</v>
      </c>
    </row>
    <row r="42" spans="1:34" s="234" customFormat="1" ht="18" customHeight="1">
      <c r="A42" s="238" t="s">
        <v>126</v>
      </c>
      <c r="B42" s="246" t="s">
        <v>127</v>
      </c>
      <c r="C42" s="553" t="s">
        <v>125</v>
      </c>
      <c r="D42" s="554">
        <v>48.75</v>
      </c>
      <c r="E42" s="554">
        <v>564.41</v>
      </c>
      <c r="F42" s="605">
        <f t="shared" si="0"/>
        <v>27514.99</v>
      </c>
      <c r="G42" s="606"/>
      <c r="H42" s="385">
        <f t="shared" si="3"/>
        <v>27514.99</v>
      </c>
      <c r="I42" s="607"/>
      <c r="J42" s="555"/>
      <c r="K42" s="555">
        <v>27514.99</v>
      </c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556"/>
      <c r="AE42" s="357">
        <f>SUM(I42:AD42)</f>
        <v>27514.99</v>
      </c>
      <c r="AF42" s="254"/>
      <c r="AG42" s="254">
        <f t="shared" si="4"/>
        <v>27514.99</v>
      </c>
      <c r="AH42" s="240">
        <f t="shared" si="2"/>
        <v>0</v>
      </c>
    </row>
    <row r="43" spans="1:34" s="234" customFormat="1" ht="18" customHeight="1">
      <c r="A43" s="238" t="s">
        <v>128</v>
      </c>
      <c r="B43" s="246" t="s">
        <v>129</v>
      </c>
      <c r="C43" s="553" t="s">
        <v>58</v>
      </c>
      <c r="D43" s="554">
        <v>31.5</v>
      </c>
      <c r="E43" s="554">
        <v>213.16</v>
      </c>
      <c r="F43" s="605">
        <f t="shared" si="0"/>
        <v>6714.54</v>
      </c>
      <c r="G43" s="606"/>
      <c r="H43" s="385">
        <f t="shared" si="3"/>
        <v>6714.54</v>
      </c>
      <c r="I43" s="607"/>
      <c r="J43" s="555"/>
      <c r="K43" s="555"/>
      <c r="L43" s="555">
        <v>6714.54</v>
      </c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6"/>
      <c r="AE43" s="357">
        <f>SUM(I43:AD43)</f>
        <v>6714.54</v>
      </c>
      <c r="AF43" s="254"/>
      <c r="AG43" s="254">
        <f t="shared" si="4"/>
        <v>6714.54</v>
      </c>
      <c r="AH43" s="240">
        <f t="shared" si="2"/>
        <v>0</v>
      </c>
    </row>
    <row r="44" spans="1:34" s="234" customFormat="1" ht="21" customHeight="1">
      <c r="A44" s="238" t="s">
        <v>130</v>
      </c>
      <c r="B44" s="246" t="s">
        <v>368</v>
      </c>
      <c r="C44" s="553" t="s">
        <v>70</v>
      </c>
      <c r="D44" s="554">
        <v>1</v>
      </c>
      <c r="E44" s="554">
        <v>30000</v>
      </c>
      <c r="F44" s="605">
        <f t="shared" si="0"/>
        <v>30000</v>
      </c>
      <c r="G44" s="606"/>
      <c r="H44" s="385">
        <f t="shared" si="3"/>
        <v>30000</v>
      </c>
      <c r="I44" s="607"/>
      <c r="J44" s="555">
        <v>1754.03</v>
      </c>
      <c r="K44" s="555">
        <v>16330.65</v>
      </c>
      <c r="L44" s="555">
        <v>11915.32</v>
      </c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6"/>
      <c r="AE44" s="357">
        <f>SUM(I44:AD44)</f>
        <v>30000</v>
      </c>
      <c r="AF44" s="254"/>
      <c r="AG44" s="254">
        <f t="shared" si="4"/>
        <v>30000</v>
      </c>
      <c r="AH44" s="240">
        <f t="shared" si="2"/>
        <v>0</v>
      </c>
    </row>
    <row r="45" spans="1:34" s="234" customFormat="1" ht="18" customHeight="1">
      <c r="A45" s="235" t="s">
        <v>133</v>
      </c>
      <c r="B45" s="241" t="s">
        <v>134</v>
      </c>
      <c r="C45" s="242"/>
      <c r="D45" s="243"/>
      <c r="E45" s="243"/>
      <c r="F45" s="605"/>
      <c r="G45" s="606"/>
      <c r="H45" s="385">
        <f t="shared" si="3"/>
        <v>0</v>
      </c>
      <c r="I45" s="607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6"/>
      <c r="AE45" s="357"/>
      <c r="AF45" s="254"/>
      <c r="AG45" s="254">
        <f t="shared" si="4"/>
        <v>0</v>
      </c>
      <c r="AH45" s="240">
        <f t="shared" si="2"/>
        <v>0</v>
      </c>
    </row>
    <row r="46" spans="1:34" s="234" customFormat="1" ht="18" customHeight="1">
      <c r="A46" s="244" t="s">
        <v>135</v>
      </c>
      <c r="B46" s="245" t="s">
        <v>85</v>
      </c>
      <c r="C46" s="557"/>
      <c r="D46" s="558"/>
      <c r="E46" s="558"/>
      <c r="F46" s="605"/>
      <c r="G46" s="606"/>
      <c r="H46" s="385">
        <f t="shared" si="3"/>
        <v>0</v>
      </c>
      <c r="I46" s="607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6"/>
      <c r="AE46" s="357"/>
      <c r="AF46" s="254"/>
      <c r="AG46" s="254">
        <f t="shared" si="4"/>
        <v>0</v>
      </c>
      <c r="AH46" s="240">
        <f t="shared" si="2"/>
        <v>0</v>
      </c>
    </row>
    <row r="47" spans="1:34" s="234" customFormat="1" ht="18" customHeight="1">
      <c r="A47" s="238" t="s">
        <v>136</v>
      </c>
      <c r="B47" s="246" t="s">
        <v>137</v>
      </c>
      <c r="C47" s="553" t="s">
        <v>59</v>
      </c>
      <c r="D47" s="554">
        <v>187.42</v>
      </c>
      <c r="E47" s="554">
        <v>345.94</v>
      </c>
      <c r="F47" s="605">
        <f t="shared" si="0"/>
        <v>64836.07</v>
      </c>
      <c r="G47" s="606"/>
      <c r="H47" s="385">
        <f t="shared" si="3"/>
        <v>64836.07</v>
      </c>
      <c r="I47" s="607"/>
      <c r="J47" s="555"/>
      <c r="K47" s="555"/>
      <c r="L47" s="555">
        <v>44304.65</v>
      </c>
      <c r="M47" s="555">
        <v>20531.419999999998</v>
      </c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6"/>
      <c r="AE47" s="357">
        <f>SUM(I47:AD47)</f>
        <v>64836.07</v>
      </c>
      <c r="AF47" s="254"/>
      <c r="AG47" s="254">
        <f t="shared" si="4"/>
        <v>64836.07</v>
      </c>
      <c r="AH47" s="240">
        <f t="shared" si="2"/>
        <v>0</v>
      </c>
    </row>
    <row r="48" spans="1:34" s="234" customFormat="1" ht="18" customHeight="1">
      <c r="A48" s="238" t="s">
        <v>138</v>
      </c>
      <c r="B48" s="246" t="s">
        <v>139</v>
      </c>
      <c r="C48" s="553" t="s">
        <v>59</v>
      </c>
      <c r="D48" s="554">
        <v>903.57</v>
      </c>
      <c r="E48" s="554">
        <v>379.5</v>
      </c>
      <c r="F48" s="605">
        <f t="shared" si="0"/>
        <v>342904.82</v>
      </c>
      <c r="G48" s="606"/>
      <c r="H48" s="385">
        <f t="shared" si="3"/>
        <v>342904.82</v>
      </c>
      <c r="I48" s="607"/>
      <c r="J48" s="555"/>
      <c r="K48" s="555"/>
      <c r="L48" s="555">
        <v>102871.45</v>
      </c>
      <c r="M48" s="555">
        <v>240033.37</v>
      </c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5"/>
      <c r="AD48" s="556"/>
      <c r="AE48" s="357">
        <f>SUM(I48:AD48)</f>
        <v>342904.82</v>
      </c>
      <c r="AF48" s="254"/>
      <c r="AG48" s="254">
        <f t="shared" si="4"/>
        <v>342904.82</v>
      </c>
      <c r="AH48" s="240">
        <f t="shared" si="2"/>
        <v>0</v>
      </c>
    </row>
    <row r="49" spans="1:34" s="234" customFormat="1" ht="18" customHeight="1">
      <c r="A49" s="238" t="s">
        <v>140</v>
      </c>
      <c r="B49" s="246" t="s">
        <v>141</v>
      </c>
      <c r="C49" s="553" t="s">
        <v>59</v>
      </c>
      <c r="D49" s="554">
        <v>637.41</v>
      </c>
      <c r="E49" s="554">
        <v>561.21</v>
      </c>
      <c r="F49" s="605">
        <f t="shared" si="0"/>
        <v>357720.87</v>
      </c>
      <c r="G49" s="606"/>
      <c r="H49" s="385">
        <f t="shared" si="3"/>
        <v>357720.87</v>
      </c>
      <c r="I49" s="607"/>
      <c r="J49" s="555"/>
      <c r="K49" s="555"/>
      <c r="L49" s="555"/>
      <c r="M49" s="555">
        <v>333872.81</v>
      </c>
      <c r="N49" s="555">
        <v>8459.06</v>
      </c>
      <c r="O49" s="555">
        <v>15389</v>
      </c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6"/>
      <c r="AE49" s="357">
        <f>SUM(I49:AD49)</f>
        <v>357720.87</v>
      </c>
      <c r="AF49" s="254"/>
      <c r="AG49" s="254">
        <f t="shared" si="4"/>
        <v>357720.87</v>
      </c>
      <c r="AH49" s="240">
        <f t="shared" si="2"/>
        <v>0</v>
      </c>
    </row>
    <row r="50" spans="1:34" s="234" customFormat="1" ht="18" customHeight="1">
      <c r="A50" s="238" t="s">
        <v>142</v>
      </c>
      <c r="B50" s="246" t="s">
        <v>143</v>
      </c>
      <c r="C50" s="553" t="s">
        <v>59</v>
      </c>
      <c r="D50" s="554">
        <v>864.2</v>
      </c>
      <c r="E50" s="554">
        <v>9.48</v>
      </c>
      <c r="F50" s="605">
        <f t="shared" si="0"/>
        <v>8192.6200000000008</v>
      </c>
      <c r="G50" s="606"/>
      <c r="H50" s="385">
        <f t="shared" si="3"/>
        <v>8192.6200000000008</v>
      </c>
      <c r="I50" s="607"/>
      <c r="J50" s="555"/>
      <c r="K50" s="555"/>
      <c r="L50" s="555"/>
      <c r="M50" s="555"/>
      <c r="N50" s="555"/>
      <c r="O50" s="555">
        <v>8192.6200000000008</v>
      </c>
      <c r="P50" s="555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55"/>
      <c r="AC50" s="555"/>
      <c r="AD50" s="556"/>
      <c r="AE50" s="357">
        <f>SUM(I50:AD50)</f>
        <v>8192.6200000000008</v>
      </c>
      <c r="AF50" s="254"/>
      <c r="AG50" s="254">
        <f t="shared" si="4"/>
        <v>8192.6200000000008</v>
      </c>
      <c r="AH50" s="240">
        <f t="shared" si="2"/>
        <v>0</v>
      </c>
    </row>
    <row r="51" spans="1:34" s="234" customFormat="1" ht="18" customHeight="1">
      <c r="A51" s="244" t="s">
        <v>144</v>
      </c>
      <c r="B51" s="245" t="s">
        <v>112</v>
      </c>
      <c r="C51" s="557"/>
      <c r="D51" s="558"/>
      <c r="E51" s="558"/>
      <c r="F51" s="605"/>
      <c r="G51" s="606"/>
      <c r="H51" s="385">
        <f t="shared" si="3"/>
        <v>0</v>
      </c>
      <c r="I51" s="607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5"/>
      <c r="AD51" s="556"/>
      <c r="AE51" s="357"/>
      <c r="AF51" s="254"/>
      <c r="AG51" s="254">
        <f t="shared" si="4"/>
        <v>0</v>
      </c>
      <c r="AH51" s="240">
        <f t="shared" si="2"/>
        <v>0</v>
      </c>
    </row>
    <row r="52" spans="1:34" s="234" customFormat="1" ht="18" customHeight="1">
      <c r="A52" s="238" t="s">
        <v>145</v>
      </c>
      <c r="B52" s="246" t="s">
        <v>146</v>
      </c>
      <c r="C52" s="553" t="s">
        <v>59</v>
      </c>
      <c r="D52" s="554">
        <v>52.83</v>
      </c>
      <c r="E52" s="554">
        <v>243.32</v>
      </c>
      <c r="F52" s="605">
        <f t="shared" si="0"/>
        <v>12854.6</v>
      </c>
      <c r="G52" s="606"/>
      <c r="H52" s="385">
        <f t="shared" si="3"/>
        <v>12854.6</v>
      </c>
      <c r="I52" s="607"/>
      <c r="J52" s="555"/>
      <c r="K52" s="555"/>
      <c r="L52" s="555"/>
      <c r="M52" s="555"/>
      <c r="N52" s="555"/>
      <c r="O52" s="555"/>
      <c r="P52" s="555"/>
      <c r="Q52" s="555">
        <v>12854.6</v>
      </c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6"/>
      <c r="AE52" s="357">
        <f>SUM(I52:AD52)</f>
        <v>12854.6</v>
      </c>
      <c r="AF52" s="254"/>
      <c r="AG52" s="254">
        <f t="shared" si="4"/>
        <v>12854.6</v>
      </c>
      <c r="AH52" s="240">
        <f t="shared" si="2"/>
        <v>0</v>
      </c>
    </row>
    <row r="53" spans="1:34" s="234" customFormat="1" ht="18" customHeight="1">
      <c r="A53" s="238" t="s">
        <v>147</v>
      </c>
      <c r="B53" s="246" t="s">
        <v>114</v>
      </c>
      <c r="C53" s="553" t="s">
        <v>59</v>
      </c>
      <c r="D53" s="554">
        <v>328.32</v>
      </c>
      <c r="E53" s="554">
        <v>458.39</v>
      </c>
      <c r="F53" s="605">
        <f t="shared" si="0"/>
        <v>150498.6</v>
      </c>
      <c r="G53" s="606"/>
      <c r="H53" s="385">
        <f t="shared" si="3"/>
        <v>150498.6</v>
      </c>
      <c r="I53" s="607"/>
      <c r="J53" s="555"/>
      <c r="K53" s="555"/>
      <c r="L53" s="555"/>
      <c r="M53" s="555"/>
      <c r="N53" s="555"/>
      <c r="O53" s="555"/>
      <c r="P53" s="555"/>
      <c r="Q53" s="555">
        <f>+F53*0.5</f>
        <v>75249.3</v>
      </c>
      <c r="R53" s="555">
        <f>+F53*0.3</f>
        <v>45149.58</v>
      </c>
      <c r="S53" s="555">
        <f>+F53*0.2</f>
        <v>30099.72</v>
      </c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6"/>
      <c r="AE53" s="357">
        <f>SUM(I53:AD53)</f>
        <v>150498.6</v>
      </c>
      <c r="AF53" s="254"/>
      <c r="AG53" s="254">
        <f t="shared" si="4"/>
        <v>150498.6</v>
      </c>
      <c r="AH53" s="240">
        <f t="shared" si="2"/>
        <v>0</v>
      </c>
    </row>
    <row r="54" spans="1:34" s="234" customFormat="1" ht="18" customHeight="1">
      <c r="A54" s="238" t="s">
        <v>148</v>
      </c>
      <c r="B54" s="246" t="s">
        <v>149</v>
      </c>
      <c r="C54" s="553" t="s">
        <v>58</v>
      </c>
      <c r="D54" s="554">
        <v>170.34</v>
      </c>
      <c r="E54" s="554">
        <v>67.91</v>
      </c>
      <c r="F54" s="605">
        <f t="shared" si="0"/>
        <v>11567.79</v>
      </c>
      <c r="G54" s="606"/>
      <c r="H54" s="385">
        <f t="shared" si="3"/>
        <v>11567.79</v>
      </c>
      <c r="I54" s="607"/>
      <c r="J54" s="555"/>
      <c r="K54" s="555"/>
      <c r="L54" s="555"/>
      <c r="M54" s="555"/>
      <c r="N54" s="555">
        <f>+F54*0.2</f>
        <v>2313.5580000000004</v>
      </c>
      <c r="O54" s="555">
        <f>+F54*0.8</f>
        <v>9254.2320000000018</v>
      </c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6"/>
      <c r="AE54" s="357">
        <f>SUM(I54:AD54)</f>
        <v>11567.790000000003</v>
      </c>
      <c r="AF54" s="254"/>
      <c r="AG54" s="254">
        <f t="shared" si="4"/>
        <v>11567.790000000003</v>
      </c>
      <c r="AH54" s="240">
        <f t="shared" si="2"/>
        <v>0</v>
      </c>
    </row>
    <row r="55" spans="1:34" s="234" customFormat="1" ht="18" customHeight="1">
      <c r="A55" s="238" t="s">
        <v>150</v>
      </c>
      <c r="B55" s="246" t="s">
        <v>151</v>
      </c>
      <c r="C55" s="553" t="s">
        <v>58</v>
      </c>
      <c r="D55" s="554">
        <v>787.33</v>
      </c>
      <c r="E55" s="554">
        <v>134.53</v>
      </c>
      <c r="F55" s="605">
        <f t="shared" si="0"/>
        <v>105919.5</v>
      </c>
      <c r="G55" s="606"/>
      <c r="H55" s="385">
        <f t="shared" si="3"/>
        <v>105919.5</v>
      </c>
      <c r="I55" s="607"/>
      <c r="J55" s="555"/>
      <c r="K55" s="555"/>
      <c r="L55" s="555"/>
      <c r="M55" s="555"/>
      <c r="N55" s="555">
        <f>+F55*0.1</f>
        <v>10591.95</v>
      </c>
      <c r="O55" s="555">
        <f>+F55*0.2</f>
        <v>21183.9</v>
      </c>
      <c r="P55" s="555">
        <f>+F55*0.3</f>
        <v>31775.85</v>
      </c>
      <c r="Q55" s="555">
        <f>+F55*0.3</f>
        <v>31775.85</v>
      </c>
      <c r="R55" s="555"/>
      <c r="S55" s="555">
        <f>+F55*0.1</f>
        <v>10591.95</v>
      </c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6"/>
      <c r="AE55" s="357">
        <f>SUM(I55:AD55)</f>
        <v>105919.49999999999</v>
      </c>
      <c r="AF55" s="254"/>
      <c r="AG55" s="254">
        <f t="shared" si="4"/>
        <v>105919.49999999999</v>
      </c>
      <c r="AH55" s="240">
        <f t="shared" si="2"/>
        <v>0</v>
      </c>
    </row>
    <row r="56" spans="1:34" s="234" customFormat="1" ht="18" customHeight="1">
      <c r="A56" s="238" t="s">
        <v>152</v>
      </c>
      <c r="B56" s="246" t="s">
        <v>153</v>
      </c>
      <c r="C56" s="553" t="s">
        <v>58</v>
      </c>
      <c r="D56" s="554">
        <v>539.08000000000004</v>
      </c>
      <c r="E56" s="554">
        <v>201.8</v>
      </c>
      <c r="F56" s="605">
        <f t="shared" si="0"/>
        <v>108786.34</v>
      </c>
      <c r="G56" s="606"/>
      <c r="H56" s="385">
        <f t="shared" si="3"/>
        <v>108786.34</v>
      </c>
      <c r="I56" s="607"/>
      <c r="J56" s="555"/>
      <c r="K56" s="555"/>
      <c r="L56" s="555"/>
      <c r="M56" s="555"/>
      <c r="N56" s="555">
        <f>+F56*0.1</f>
        <v>10878.634</v>
      </c>
      <c r="O56" s="555">
        <f>+F56*0.2</f>
        <v>21757.268</v>
      </c>
      <c r="P56" s="555">
        <f>+F56*0.3</f>
        <v>32635.901999999998</v>
      </c>
      <c r="Q56" s="555">
        <f>+F56*0.3</f>
        <v>32635.901999999998</v>
      </c>
      <c r="R56" s="555"/>
      <c r="S56" s="555">
        <f>+F56*0.1</f>
        <v>10878.634</v>
      </c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6"/>
      <c r="AE56" s="357">
        <f>SUM(I56:AD56)</f>
        <v>108786.34000000001</v>
      </c>
      <c r="AF56" s="254"/>
      <c r="AG56" s="254">
        <f t="shared" si="4"/>
        <v>108786.34000000001</v>
      </c>
      <c r="AH56" s="240">
        <f t="shared" si="2"/>
        <v>0</v>
      </c>
    </row>
    <row r="57" spans="1:34" s="234" customFormat="1" ht="18" customHeight="1">
      <c r="A57" s="244" t="s">
        <v>154</v>
      </c>
      <c r="B57" s="245" t="s">
        <v>118</v>
      </c>
      <c r="C57" s="557"/>
      <c r="D57" s="558"/>
      <c r="E57" s="558"/>
      <c r="F57" s="605"/>
      <c r="G57" s="606"/>
      <c r="H57" s="385">
        <f t="shared" si="3"/>
        <v>0</v>
      </c>
      <c r="I57" s="607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6"/>
      <c r="AE57" s="357"/>
      <c r="AF57" s="254"/>
      <c r="AG57" s="254">
        <f t="shared" si="4"/>
        <v>0</v>
      </c>
      <c r="AH57" s="240">
        <f t="shared" si="2"/>
        <v>0</v>
      </c>
    </row>
    <row r="58" spans="1:34" s="234" customFormat="1" ht="18" customHeight="1">
      <c r="A58" s="238" t="s">
        <v>155</v>
      </c>
      <c r="B58" s="246" t="s">
        <v>156</v>
      </c>
      <c r="C58" s="553" t="s">
        <v>58</v>
      </c>
      <c r="D58" s="554">
        <v>1245.42</v>
      </c>
      <c r="E58" s="554">
        <v>84.32</v>
      </c>
      <c r="F58" s="605">
        <f t="shared" si="0"/>
        <v>105013.81</v>
      </c>
      <c r="G58" s="606"/>
      <c r="H58" s="385">
        <f t="shared" si="3"/>
        <v>105013.81</v>
      </c>
      <c r="I58" s="607"/>
      <c r="J58" s="555"/>
      <c r="K58" s="555"/>
      <c r="L58" s="555"/>
      <c r="M58" s="555"/>
      <c r="N58" s="555"/>
      <c r="O58" s="555"/>
      <c r="P58" s="555"/>
      <c r="Q58" s="555">
        <f>+F58*0.5</f>
        <v>52506.904999999999</v>
      </c>
      <c r="R58" s="555">
        <f>+F58*0.5</f>
        <v>52506.904999999999</v>
      </c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6"/>
      <c r="AE58" s="357">
        <f>SUM(I58:AD58)</f>
        <v>105013.81</v>
      </c>
      <c r="AF58" s="254"/>
      <c r="AG58" s="254">
        <f t="shared" si="4"/>
        <v>105013.81</v>
      </c>
      <c r="AH58" s="240">
        <f t="shared" si="2"/>
        <v>0</v>
      </c>
    </row>
    <row r="59" spans="1:34" s="234" customFormat="1" ht="18" customHeight="1">
      <c r="A59" s="244" t="s">
        <v>157</v>
      </c>
      <c r="B59" s="245" t="s">
        <v>158</v>
      </c>
      <c r="C59" s="557"/>
      <c r="D59" s="558"/>
      <c r="E59" s="558"/>
      <c r="F59" s="605"/>
      <c r="G59" s="606"/>
      <c r="H59" s="385">
        <f t="shared" si="3"/>
        <v>0</v>
      </c>
      <c r="I59" s="607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555"/>
      <c r="V59" s="555"/>
      <c r="W59" s="555"/>
      <c r="X59" s="555"/>
      <c r="Y59" s="555"/>
      <c r="Z59" s="555"/>
      <c r="AA59" s="555"/>
      <c r="AB59" s="555"/>
      <c r="AC59" s="555"/>
      <c r="AD59" s="556"/>
      <c r="AE59" s="357"/>
      <c r="AF59" s="254"/>
      <c r="AG59" s="254">
        <f t="shared" si="4"/>
        <v>0</v>
      </c>
      <c r="AH59" s="240">
        <f t="shared" si="2"/>
        <v>0</v>
      </c>
    </row>
    <row r="60" spans="1:34" s="234" customFormat="1" ht="18" customHeight="1">
      <c r="A60" s="238" t="s">
        <v>159</v>
      </c>
      <c r="B60" s="246" t="s">
        <v>160</v>
      </c>
      <c r="C60" s="553" t="s">
        <v>161</v>
      </c>
      <c r="D60" s="554">
        <v>13168.8</v>
      </c>
      <c r="E60" s="554">
        <v>8.85</v>
      </c>
      <c r="F60" s="605">
        <f t="shared" si="0"/>
        <v>116543.88</v>
      </c>
      <c r="G60" s="606"/>
      <c r="H60" s="385">
        <f t="shared" si="3"/>
        <v>116543.88</v>
      </c>
      <c r="I60" s="607"/>
      <c r="J60" s="555"/>
      <c r="K60" s="555"/>
      <c r="L60" s="555"/>
      <c r="M60" s="555"/>
      <c r="N60" s="555">
        <f>+F60*0.05</f>
        <v>5827.1940000000004</v>
      </c>
      <c r="O60" s="555">
        <f>+F60*0.2</f>
        <v>23308.776000000002</v>
      </c>
      <c r="P60" s="555">
        <f>+F60*0.3</f>
        <v>34963.163999999997</v>
      </c>
      <c r="Q60" s="555">
        <f>+F60*0.3</f>
        <v>34963.163999999997</v>
      </c>
      <c r="R60" s="555">
        <f>+F60*0.15</f>
        <v>17481.581999999999</v>
      </c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6"/>
      <c r="AE60" s="357">
        <f>SUM(I60:AD60)</f>
        <v>116543.87999999999</v>
      </c>
      <c r="AF60" s="254"/>
      <c r="AG60" s="254">
        <f t="shared" si="4"/>
        <v>116543.87999999999</v>
      </c>
      <c r="AH60" s="240">
        <f t="shared" si="2"/>
        <v>0</v>
      </c>
    </row>
    <row r="61" spans="1:34" s="234" customFormat="1" ht="18" customHeight="1">
      <c r="A61" s="238" t="s">
        <v>162</v>
      </c>
      <c r="B61" s="246" t="s">
        <v>163</v>
      </c>
      <c r="C61" s="553" t="s">
        <v>125</v>
      </c>
      <c r="D61" s="554">
        <v>1095</v>
      </c>
      <c r="E61" s="554">
        <v>154.44999999999999</v>
      </c>
      <c r="F61" s="605">
        <f t="shared" si="0"/>
        <v>169122.75</v>
      </c>
      <c r="G61" s="606"/>
      <c r="H61" s="385">
        <f t="shared" si="3"/>
        <v>169122.75</v>
      </c>
      <c r="I61" s="607"/>
      <c r="J61" s="555"/>
      <c r="K61" s="555"/>
      <c r="L61" s="555"/>
      <c r="M61" s="555"/>
      <c r="N61" s="555">
        <f>+F61*0.05</f>
        <v>8456.1375000000007</v>
      </c>
      <c r="O61" s="555">
        <f>+F61*0.2</f>
        <v>33824.550000000003</v>
      </c>
      <c r="P61" s="555">
        <f>+F61*0.3</f>
        <v>50736.824999999997</v>
      </c>
      <c r="Q61" s="555">
        <f>+F61*0.3</f>
        <v>50736.824999999997</v>
      </c>
      <c r="R61" s="555">
        <f>+F61*0.15</f>
        <v>25368.412499999999</v>
      </c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6"/>
      <c r="AE61" s="357">
        <f>SUM(I61:AD61)</f>
        <v>169122.75</v>
      </c>
      <c r="AF61" s="254"/>
      <c r="AG61" s="254">
        <f t="shared" si="4"/>
        <v>169122.75</v>
      </c>
      <c r="AH61" s="240">
        <f t="shared" si="2"/>
        <v>0</v>
      </c>
    </row>
    <row r="62" spans="1:34" s="234" customFormat="1" ht="18" customHeight="1">
      <c r="A62" s="238" t="s">
        <v>164</v>
      </c>
      <c r="B62" s="246" t="s">
        <v>165</v>
      </c>
      <c r="C62" s="553" t="s">
        <v>125</v>
      </c>
      <c r="D62" s="554">
        <v>48</v>
      </c>
      <c r="E62" s="554">
        <v>142.72</v>
      </c>
      <c r="F62" s="605">
        <f t="shared" si="0"/>
        <v>6850.56</v>
      </c>
      <c r="G62" s="606"/>
      <c r="H62" s="385">
        <f t="shared" si="3"/>
        <v>6850.56</v>
      </c>
      <c r="I62" s="607"/>
      <c r="J62" s="555"/>
      <c r="K62" s="555"/>
      <c r="L62" s="555"/>
      <c r="M62" s="555"/>
      <c r="N62" s="555">
        <f>+F62*0.1</f>
        <v>685.05600000000004</v>
      </c>
      <c r="O62" s="555">
        <f>+F62*0.2</f>
        <v>1370.1120000000001</v>
      </c>
      <c r="P62" s="555">
        <f>+F62*0.3</f>
        <v>2055.1680000000001</v>
      </c>
      <c r="Q62" s="555">
        <f>+F62*0.3</f>
        <v>2055.1680000000001</v>
      </c>
      <c r="R62" s="555">
        <f>+F62*0.1</f>
        <v>685.05600000000004</v>
      </c>
      <c r="S62" s="555"/>
      <c r="T62" s="555"/>
      <c r="U62" s="555"/>
      <c r="V62" s="555"/>
      <c r="W62" s="555"/>
      <c r="X62" s="555"/>
      <c r="Y62" s="555"/>
      <c r="Z62" s="555"/>
      <c r="AA62" s="555"/>
      <c r="AB62" s="555"/>
      <c r="AC62" s="555"/>
      <c r="AD62" s="556"/>
      <c r="AE62" s="357">
        <f>SUM(I62:AD62)</f>
        <v>6850.5600000000013</v>
      </c>
      <c r="AF62" s="254"/>
      <c r="AG62" s="254">
        <f t="shared" si="4"/>
        <v>6850.5600000000013</v>
      </c>
      <c r="AH62" s="240">
        <f t="shared" si="2"/>
        <v>0</v>
      </c>
    </row>
    <row r="63" spans="1:34" s="234" customFormat="1" ht="18" customHeight="1">
      <c r="A63" s="244" t="s">
        <v>166</v>
      </c>
      <c r="B63" s="245" t="s">
        <v>167</v>
      </c>
      <c r="C63" s="557"/>
      <c r="D63" s="558"/>
      <c r="E63" s="558"/>
      <c r="F63" s="605"/>
      <c r="G63" s="606"/>
      <c r="H63" s="385">
        <f t="shared" si="3"/>
        <v>0</v>
      </c>
      <c r="I63" s="607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5"/>
      <c r="AD63" s="556"/>
      <c r="AE63" s="357"/>
      <c r="AF63" s="254"/>
      <c r="AG63" s="254">
        <f t="shared" si="4"/>
        <v>0</v>
      </c>
      <c r="AH63" s="240">
        <f t="shared" si="2"/>
        <v>0</v>
      </c>
    </row>
    <row r="64" spans="1:34" s="234" customFormat="1" ht="18" customHeight="1">
      <c r="A64" s="238" t="s">
        <v>168</v>
      </c>
      <c r="B64" s="246" t="s">
        <v>169</v>
      </c>
      <c r="C64" s="553" t="s">
        <v>70</v>
      </c>
      <c r="D64" s="554">
        <v>1</v>
      </c>
      <c r="E64" s="559">
        <v>13298.76</v>
      </c>
      <c r="F64" s="605">
        <f t="shared" si="0"/>
        <v>13298.76</v>
      </c>
      <c r="G64" s="606"/>
      <c r="H64" s="385">
        <f t="shared" si="3"/>
        <v>13298.76</v>
      </c>
      <c r="I64" s="607"/>
      <c r="J64" s="555"/>
      <c r="K64" s="555"/>
      <c r="L64" s="555"/>
      <c r="M64" s="555"/>
      <c r="N64" s="555"/>
      <c r="O64" s="555"/>
      <c r="P64" s="555">
        <v>13298.76</v>
      </c>
      <c r="Q64" s="555"/>
      <c r="R64" s="555"/>
      <c r="S64" s="555"/>
      <c r="T64" s="555"/>
      <c r="U64" s="555"/>
      <c r="V64" s="555"/>
      <c r="W64" s="555"/>
      <c r="X64" s="555"/>
      <c r="Y64" s="555"/>
      <c r="Z64" s="555"/>
      <c r="AA64" s="555"/>
      <c r="AB64" s="555"/>
      <c r="AC64" s="555"/>
      <c r="AD64" s="556"/>
      <c r="AE64" s="357">
        <f>SUM(I64:AD64)</f>
        <v>13298.76</v>
      </c>
      <c r="AF64" s="254"/>
      <c r="AG64" s="254">
        <f t="shared" si="4"/>
        <v>13298.76</v>
      </c>
      <c r="AH64" s="240">
        <f t="shared" si="2"/>
        <v>0</v>
      </c>
    </row>
    <row r="65" spans="1:34" s="234" customFormat="1" ht="18" customHeight="1">
      <c r="A65" s="235" t="s">
        <v>170</v>
      </c>
      <c r="B65" s="241" t="s">
        <v>171</v>
      </c>
      <c r="C65" s="242"/>
      <c r="D65" s="243"/>
      <c r="E65" s="243"/>
      <c r="F65" s="605"/>
      <c r="G65" s="606"/>
      <c r="H65" s="385">
        <f t="shared" si="3"/>
        <v>0</v>
      </c>
      <c r="I65" s="607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6"/>
      <c r="AE65" s="357"/>
      <c r="AF65" s="254"/>
      <c r="AG65" s="254">
        <f t="shared" si="4"/>
        <v>0</v>
      </c>
      <c r="AH65" s="240">
        <f t="shared" si="2"/>
        <v>0</v>
      </c>
    </row>
    <row r="66" spans="1:34" s="234" customFormat="1" ht="18" customHeight="1">
      <c r="A66" s="244" t="s">
        <v>172</v>
      </c>
      <c r="B66" s="245" t="s">
        <v>85</v>
      </c>
      <c r="C66" s="557"/>
      <c r="D66" s="558"/>
      <c r="E66" s="558"/>
      <c r="F66" s="605"/>
      <c r="G66" s="606"/>
      <c r="H66" s="385">
        <f t="shared" si="3"/>
        <v>0</v>
      </c>
      <c r="I66" s="607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6"/>
      <c r="AE66" s="357"/>
      <c r="AF66" s="254"/>
      <c r="AG66" s="254">
        <f t="shared" si="4"/>
        <v>0</v>
      </c>
      <c r="AH66" s="240">
        <f t="shared" si="2"/>
        <v>0</v>
      </c>
    </row>
    <row r="67" spans="1:34" s="234" customFormat="1" ht="18" customHeight="1">
      <c r="A67" s="238" t="s">
        <v>173</v>
      </c>
      <c r="B67" s="246" t="s">
        <v>89</v>
      </c>
      <c r="C67" s="553" t="s">
        <v>59</v>
      </c>
      <c r="D67" s="554">
        <v>189.04</v>
      </c>
      <c r="E67" s="554">
        <v>17.36</v>
      </c>
      <c r="F67" s="605">
        <f t="shared" si="0"/>
        <v>3281.73</v>
      </c>
      <c r="G67" s="606"/>
      <c r="H67" s="385">
        <f t="shared" si="3"/>
        <v>3281.73</v>
      </c>
      <c r="I67" s="607"/>
      <c r="J67" s="555"/>
      <c r="K67" s="555"/>
      <c r="L67" s="555"/>
      <c r="M67" s="555"/>
      <c r="N67" s="555"/>
      <c r="O67" s="555"/>
      <c r="P67" s="555"/>
      <c r="Q67" s="555">
        <v>2974.07</v>
      </c>
      <c r="R67" s="555"/>
      <c r="S67" s="555"/>
      <c r="T67" s="555"/>
      <c r="U67" s="555">
        <v>307.66000000000003</v>
      </c>
      <c r="V67" s="555"/>
      <c r="W67" s="555"/>
      <c r="X67" s="555"/>
      <c r="Y67" s="555"/>
      <c r="Z67" s="555"/>
      <c r="AA67" s="555"/>
      <c r="AB67" s="555"/>
      <c r="AC67" s="555"/>
      <c r="AD67" s="556"/>
      <c r="AE67" s="357">
        <f>SUM(I67:AD67)</f>
        <v>3281.73</v>
      </c>
      <c r="AF67" s="254"/>
      <c r="AG67" s="254">
        <f t="shared" si="4"/>
        <v>3281.73</v>
      </c>
      <c r="AH67" s="240">
        <f t="shared" si="2"/>
        <v>0</v>
      </c>
    </row>
    <row r="68" spans="1:34" s="234" customFormat="1" ht="18" customHeight="1">
      <c r="A68" s="238" t="s">
        <v>174</v>
      </c>
      <c r="B68" s="246" t="s">
        <v>175</v>
      </c>
      <c r="C68" s="553" t="s">
        <v>59</v>
      </c>
      <c r="D68" s="554">
        <v>189.04</v>
      </c>
      <c r="E68" s="554">
        <v>23.3</v>
      </c>
      <c r="F68" s="605">
        <f t="shared" si="0"/>
        <v>4404.63</v>
      </c>
      <c r="G68" s="606"/>
      <c r="H68" s="385">
        <f t="shared" si="3"/>
        <v>4404.63</v>
      </c>
      <c r="I68" s="607"/>
      <c r="J68" s="555"/>
      <c r="K68" s="555"/>
      <c r="L68" s="555"/>
      <c r="M68" s="555"/>
      <c r="N68" s="555"/>
      <c r="O68" s="555"/>
      <c r="P68" s="555"/>
      <c r="Q68" s="555">
        <v>3991.7</v>
      </c>
      <c r="R68" s="555"/>
      <c r="S68" s="555"/>
      <c r="T68" s="555"/>
      <c r="U68" s="555">
        <v>412.93</v>
      </c>
      <c r="V68" s="555"/>
      <c r="W68" s="555"/>
      <c r="X68" s="555"/>
      <c r="Y68" s="555"/>
      <c r="Z68" s="555"/>
      <c r="AA68" s="555"/>
      <c r="AB68" s="555"/>
      <c r="AC68" s="555"/>
      <c r="AD68" s="556"/>
      <c r="AE68" s="357">
        <f>SUM(I68:AD68)</f>
        <v>4404.63</v>
      </c>
      <c r="AF68" s="254"/>
      <c r="AG68" s="254">
        <f t="shared" si="4"/>
        <v>4404.63</v>
      </c>
      <c r="AH68" s="240">
        <f t="shared" si="2"/>
        <v>0</v>
      </c>
    </row>
    <row r="69" spans="1:34" s="234" customFormat="1" ht="18" customHeight="1">
      <c r="A69" s="238" t="s">
        <v>174</v>
      </c>
      <c r="B69" s="246" t="s">
        <v>91</v>
      </c>
      <c r="C69" s="553" t="s">
        <v>59</v>
      </c>
      <c r="D69" s="554">
        <v>21.01</v>
      </c>
      <c r="E69" s="554">
        <v>29.14</v>
      </c>
      <c r="F69" s="605">
        <f t="shared" si="0"/>
        <v>612.23</v>
      </c>
      <c r="G69" s="606"/>
      <c r="H69" s="385">
        <f t="shared" si="3"/>
        <v>612.23</v>
      </c>
      <c r="I69" s="607"/>
      <c r="J69" s="555"/>
      <c r="K69" s="555"/>
      <c r="L69" s="555"/>
      <c r="M69" s="555"/>
      <c r="N69" s="555"/>
      <c r="O69" s="555"/>
      <c r="P69" s="555"/>
      <c r="Q69" s="555">
        <v>359.69</v>
      </c>
      <c r="R69" s="555"/>
      <c r="S69" s="555"/>
      <c r="T69" s="555"/>
      <c r="U69" s="555">
        <v>252.54</v>
      </c>
      <c r="V69" s="555"/>
      <c r="W69" s="555"/>
      <c r="X69" s="555"/>
      <c r="Y69" s="555"/>
      <c r="Z69" s="555"/>
      <c r="AA69" s="555"/>
      <c r="AB69" s="555"/>
      <c r="AC69" s="555"/>
      <c r="AD69" s="556"/>
      <c r="AE69" s="357">
        <f>SUM(I69:AD69)</f>
        <v>612.23</v>
      </c>
      <c r="AF69" s="254"/>
      <c r="AG69" s="254">
        <f t="shared" si="4"/>
        <v>612.23</v>
      </c>
      <c r="AH69" s="240">
        <f t="shared" si="2"/>
        <v>0</v>
      </c>
    </row>
    <row r="70" spans="1:34" s="234" customFormat="1" ht="18" customHeight="1">
      <c r="A70" s="238" t="s">
        <v>176</v>
      </c>
      <c r="B70" s="246" t="s">
        <v>177</v>
      </c>
      <c r="C70" s="553" t="s">
        <v>59</v>
      </c>
      <c r="D70" s="554">
        <v>21.01</v>
      </c>
      <c r="E70" s="554">
        <v>35.22</v>
      </c>
      <c r="F70" s="605">
        <f t="shared" si="0"/>
        <v>739.97</v>
      </c>
      <c r="G70" s="606"/>
      <c r="H70" s="385">
        <f t="shared" si="3"/>
        <v>739.97</v>
      </c>
      <c r="I70" s="607"/>
      <c r="J70" s="555"/>
      <c r="K70" s="555"/>
      <c r="L70" s="555"/>
      <c r="M70" s="555"/>
      <c r="N70" s="555"/>
      <c r="O70" s="555"/>
      <c r="P70" s="555"/>
      <c r="Q70" s="555">
        <v>64.75</v>
      </c>
      <c r="R70" s="555"/>
      <c r="S70" s="555"/>
      <c r="T70" s="555"/>
      <c r="U70" s="555">
        <v>675.22</v>
      </c>
      <c r="V70" s="555"/>
      <c r="W70" s="555"/>
      <c r="X70" s="555"/>
      <c r="Y70" s="555"/>
      <c r="Z70" s="555"/>
      <c r="AA70" s="555"/>
      <c r="AB70" s="555"/>
      <c r="AC70" s="555"/>
      <c r="AD70" s="556"/>
      <c r="AE70" s="357">
        <f>SUM(I70:AD70)</f>
        <v>739.97</v>
      </c>
      <c r="AF70" s="254"/>
      <c r="AG70" s="254">
        <f t="shared" si="4"/>
        <v>739.97</v>
      </c>
      <c r="AH70" s="240">
        <f t="shared" si="2"/>
        <v>0</v>
      </c>
    </row>
    <row r="71" spans="1:34" s="234" customFormat="1" ht="18" customHeight="1">
      <c r="A71" s="238" t="s">
        <v>178</v>
      </c>
      <c r="B71" s="246" t="s">
        <v>179</v>
      </c>
      <c r="C71" s="553" t="s">
        <v>59</v>
      </c>
      <c r="D71" s="554">
        <v>210.05</v>
      </c>
      <c r="E71" s="554">
        <v>9.48</v>
      </c>
      <c r="F71" s="605">
        <f t="shared" si="0"/>
        <v>1991.27</v>
      </c>
      <c r="G71" s="606"/>
      <c r="H71" s="385">
        <f t="shared" si="3"/>
        <v>1991.27</v>
      </c>
      <c r="I71" s="607"/>
      <c r="J71" s="555"/>
      <c r="K71" s="555"/>
      <c r="L71" s="555"/>
      <c r="M71" s="555"/>
      <c r="N71" s="555"/>
      <c r="O71" s="555"/>
      <c r="P71" s="555"/>
      <c r="Q71" s="555"/>
      <c r="R71" s="555"/>
      <c r="S71" s="555"/>
      <c r="T71" s="555"/>
      <c r="U71" s="555">
        <v>1991.27</v>
      </c>
      <c r="V71" s="555"/>
      <c r="W71" s="555"/>
      <c r="X71" s="555"/>
      <c r="Y71" s="555"/>
      <c r="Z71" s="555"/>
      <c r="AA71" s="555"/>
      <c r="AB71" s="555"/>
      <c r="AC71" s="555"/>
      <c r="AD71" s="556"/>
      <c r="AE71" s="357">
        <f>SUM(I71:AD71)</f>
        <v>1991.27</v>
      </c>
      <c r="AF71" s="254"/>
      <c r="AG71" s="254">
        <f t="shared" si="4"/>
        <v>1991.27</v>
      </c>
      <c r="AH71" s="240">
        <f t="shared" si="2"/>
        <v>0</v>
      </c>
    </row>
    <row r="72" spans="1:34" s="234" customFormat="1" ht="18" customHeight="1">
      <c r="A72" s="244" t="s">
        <v>180</v>
      </c>
      <c r="B72" s="245" t="s">
        <v>181</v>
      </c>
      <c r="C72" s="557"/>
      <c r="D72" s="558"/>
      <c r="E72" s="558"/>
      <c r="F72" s="605"/>
      <c r="G72" s="606"/>
      <c r="H72" s="385">
        <f t="shared" si="3"/>
        <v>0</v>
      </c>
      <c r="I72" s="607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6"/>
      <c r="AE72" s="357"/>
      <c r="AF72" s="254"/>
      <c r="AG72" s="254">
        <f t="shared" si="4"/>
        <v>0</v>
      </c>
      <c r="AH72" s="240">
        <f t="shared" si="2"/>
        <v>0</v>
      </c>
    </row>
    <row r="73" spans="1:34" s="234" customFormat="1" ht="18" customHeight="1">
      <c r="A73" s="238" t="s">
        <v>182</v>
      </c>
      <c r="B73" s="246" t="s">
        <v>183</v>
      </c>
      <c r="C73" s="553" t="s">
        <v>59</v>
      </c>
      <c r="D73" s="554">
        <v>1911.61</v>
      </c>
      <c r="E73" s="554">
        <v>24.74</v>
      </c>
      <c r="F73" s="605">
        <f t="shared" si="0"/>
        <v>47293.23</v>
      </c>
      <c r="G73" s="606"/>
      <c r="H73" s="385">
        <f t="shared" si="3"/>
        <v>47293.23</v>
      </c>
      <c r="I73" s="607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>
        <f>+H73*0.7</f>
        <v>33105.260999999999</v>
      </c>
      <c r="V73" s="555">
        <f>+H73*0.3</f>
        <v>14187.969000000001</v>
      </c>
      <c r="W73" s="555"/>
      <c r="X73" s="555"/>
      <c r="Y73" s="555"/>
      <c r="Z73" s="555"/>
      <c r="AA73" s="555"/>
      <c r="AB73" s="555"/>
      <c r="AC73" s="555"/>
      <c r="AD73" s="556"/>
      <c r="AE73" s="357">
        <f>SUM(I73:AD73)</f>
        <v>47293.229999999996</v>
      </c>
      <c r="AF73" s="254"/>
      <c r="AG73" s="254">
        <f t="shared" si="4"/>
        <v>47293.229999999996</v>
      </c>
      <c r="AH73" s="240">
        <f t="shared" si="2"/>
        <v>0</v>
      </c>
    </row>
    <row r="74" spans="1:34" s="234" customFormat="1" ht="18" customHeight="1">
      <c r="A74" s="238" t="s">
        <v>184</v>
      </c>
      <c r="B74" s="246" t="s">
        <v>185</v>
      </c>
      <c r="C74" s="553" t="s">
        <v>59</v>
      </c>
      <c r="D74" s="554">
        <v>358.87</v>
      </c>
      <c r="E74" s="554">
        <v>12.21</v>
      </c>
      <c r="F74" s="605">
        <f t="shared" si="0"/>
        <v>4381.8</v>
      </c>
      <c r="G74" s="606"/>
      <c r="H74" s="385">
        <f t="shared" si="3"/>
        <v>4381.8</v>
      </c>
      <c r="I74" s="607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55">
        <f>+H74*0.7</f>
        <v>3067.2599999999998</v>
      </c>
      <c r="V74" s="555">
        <f>+H74*0.3</f>
        <v>1314.54</v>
      </c>
      <c r="W74" s="555"/>
      <c r="X74" s="555"/>
      <c r="Y74" s="555"/>
      <c r="Z74" s="555"/>
      <c r="AA74" s="555"/>
      <c r="AB74" s="555"/>
      <c r="AC74" s="555"/>
      <c r="AD74" s="556"/>
      <c r="AE74" s="357">
        <f>SUM(I74:AD74)</f>
        <v>4381.7999999999993</v>
      </c>
      <c r="AF74" s="254"/>
      <c r="AG74" s="254">
        <f t="shared" si="4"/>
        <v>4381.7999999999993</v>
      </c>
      <c r="AH74" s="240">
        <f t="shared" si="2"/>
        <v>0</v>
      </c>
    </row>
    <row r="75" spans="1:34" s="234" customFormat="1" ht="18" customHeight="1">
      <c r="A75" s="238" t="s">
        <v>186</v>
      </c>
      <c r="B75" s="246" t="s">
        <v>187</v>
      </c>
      <c r="C75" s="553" t="s">
        <v>58</v>
      </c>
      <c r="D75" s="554">
        <v>133.58000000000001</v>
      </c>
      <c r="E75" s="554">
        <v>51.35</v>
      </c>
      <c r="F75" s="605">
        <f t="shared" si="0"/>
        <v>6859.33</v>
      </c>
      <c r="G75" s="606"/>
      <c r="H75" s="385">
        <f t="shared" si="3"/>
        <v>6859.33</v>
      </c>
      <c r="I75" s="607"/>
      <c r="J75" s="555"/>
      <c r="K75" s="555"/>
      <c r="L75" s="555"/>
      <c r="M75" s="555"/>
      <c r="N75" s="555"/>
      <c r="O75" s="555"/>
      <c r="P75" s="555"/>
      <c r="Q75" s="555"/>
      <c r="R75" s="555"/>
      <c r="S75" s="555"/>
      <c r="T75" s="555"/>
      <c r="U75" s="555">
        <f>+H75*0.7</f>
        <v>4801.5309999999999</v>
      </c>
      <c r="V75" s="555">
        <f>+H75*0.3</f>
        <v>2057.799</v>
      </c>
      <c r="W75" s="555"/>
      <c r="X75" s="555"/>
      <c r="Y75" s="555"/>
      <c r="Z75" s="555"/>
      <c r="AA75" s="555"/>
      <c r="AB75" s="555"/>
      <c r="AC75" s="555"/>
      <c r="AD75" s="556"/>
      <c r="AE75" s="357">
        <f>SUM(I75:AD75)</f>
        <v>6859.33</v>
      </c>
      <c r="AF75" s="254"/>
      <c r="AG75" s="254">
        <f t="shared" si="4"/>
        <v>6859.33</v>
      </c>
      <c r="AH75" s="240">
        <f t="shared" si="2"/>
        <v>0</v>
      </c>
    </row>
    <row r="76" spans="1:34" s="234" customFormat="1" ht="18" customHeight="1">
      <c r="A76" s="235" t="s">
        <v>188</v>
      </c>
      <c r="B76" s="241" t="s">
        <v>189</v>
      </c>
      <c r="C76" s="242"/>
      <c r="D76" s="243"/>
      <c r="E76" s="243"/>
      <c r="F76" s="605"/>
      <c r="G76" s="606"/>
      <c r="H76" s="385">
        <f t="shared" si="3"/>
        <v>0</v>
      </c>
      <c r="I76" s="607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6"/>
      <c r="AE76" s="357"/>
      <c r="AF76" s="254"/>
      <c r="AG76" s="254">
        <f t="shared" si="4"/>
        <v>0</v>
      </c>
      <c r="AH76" s="240">
        <f t="shared" si="2"/>
        <v>0</v>
      </c>
    </row>
    <row r="77" spans="1:34" s="234" customFormat="1" ht="18" customHeight="1">
      <c r="A77" s="244" t="s">
        <v>190</v>
      </c>
      <c r="B77" s="245" t="s">
        <v>85</v>
      </c>
      <c r="C77" s="557"/>
      <c r="D77" s="558"/>
      <c r="E77" s="558"/>
      <c r="F77" s="605"/>
      <c r="G77" s="606"/>
      <c r="H77" s="385">
        <f t="shared" si="3"/>
        <v>0</v>
      </c>
      <c r="I77" s="607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6"/>
      <c r="AE77" s="357"/>
      <c r="AF77" s="254"/>
      <c r="AG77" s="254">
        <f t="shared" si="4"/>
        <v>0</v>
      </c>
      <c r="AH77" s="240">
        <f t="shared" ref="AH77:AH140" si="7">+F77-AG77</f>
        <v>0</v>
      </c>
    </row>
    <row r="78" spans="1:34" s="234" customFormat="1" ht="18" customHeight="1">
      <c r="A78" s="238" t="s">
        <v>47</v>
      </c>
      <c r="B78" s="246" t="s">
        <v>87</v>
      </c>
      <c r="C78" s="553" t="s">
        <v>59</v>
      </c>
      <c r="D78" s="554">
        <v>1262.42</v>
      </c>
      <c r="E78" s="554">
        <v>2.4700000000000002</v>
      </c>
      <c r="F78" s="605">
        <f t="shared" ref="F78:F141" si="8">ROUND(D78*E78,2)</f>
        <v>3118.18</v>
      </c>
      <c r="G78" s="606"/>
      <c r="H78" s="385">
        <f t="shared" ref="H78:H141" si="9">+F78-G78</f>
        <v>3118.18</v>
      </c>
      <c r="I78" s="607"/>
      <c r="J78" s="555"/>
      <c r="K78" s="555"/>
      <c r="L78" s="555"/>
      <c r="M78" s="555"/>
      <c r="N78" s="555"/>
      <c r="O78" s="555"/>
      <c r="P78" s="555"/>
      <c r="Q78" s="555">
        <v>841.91</v>
      </c>
      <c r="R78" s="555"/>
      <c r="S78" s="555">
        <v>2276.27</v>
      </c>
      <c r="T78" s="555"/>
      <c r="U78" s="555"/>
      <c r="V78" s="555"/>
      <c r="W78" s="555"/>
      <c r="X78" s="555"/>
      <c r="Y78" s="555"/>
      <c r="Z78" s="555"/>
      <c r="AA78" s="555"/>
      <c r="AB78" s="555"/>
      <c r="AC78" s="555"/>
      <c r="AD78" s="556"/>
      <c r="AE78" s="357">
        <f t="shared" ref="AE78:AE83" si="10">SUM(I78:AD78)</f>
        <v>3118.18</v>
      </c>
      <c r="AF78" s="254"/>
      <c r="AG78" s="254">
        <f t="shared" ref="AG78:AG141" si="11">SUM(I78:AD78)</f>
        <v>3118.18</v>
      </c>
      <c r="AH78" s="240">
        <f t="shared" si="7"/>
        <v>0</v>
      </c>
    </row>
    <row r="79" spans="1:34" s="234" customFormat="1" ht="18" customHeight="1">
      <c r="A79" s="238" t="s">
        <v>48</v>
      </c>
      <c r="B79" s="246" t="s">
        <v>89</v>
      </c>
      <c r="C79" s="553" t="s">
        <v>59</v>
      </c>
      <c r="D79" s="554">
        <v>2221.35</v>
      </c>
      <c r="E79" s="554">
        <v>17.36</v>
      </c>
      <c r="F79" s="605">
        <f t="shared" si="8"/>
        <v>38562.639999999999</v>
      </c>
      <c r="G79" s="606"/>
      <c r="H79" s="385">
        <f t="shared" si="9"/>
        <v>38562.639999999999</v>
      </c>
      <c r="I79" s="607"/>
      <c r="J79" s="555"/>
      <c r="K79" s="555"/>
      <c r="L79" s="555"/>
      <c r="M79" s="555"/>
      <c r="N79" s="555"/>
      <c r="O79" s="555"/>
      <c r="P79" s="555"/>
      <c r="Q79" s="555">
        <v>10411.91</v>
      </c>
      <c r="R79" s="555"/>
      <c r="S79" s="555">
        <v>28150.73</v>
      </c>
      <c r="T79" s="555"/>
      <c r="U79" s="555"/>
      <c r="V79" s="555"/>
      <c r="W79" s="555"/>
      <c r="X79" s="555"/>
      <c r="Y79" s="555"/>
      <c r="Z79" s="555"/>
      <c r="AA79" s="555"/>
      <c r="AB79" s="555"/>
      <c r="AC79" s="555"/>
      <c r="AD79" s="556"/>
      <c r="AE79" s="357">
        <f t="shared" si="10"/>
        <v>38562.639999999999</v>
      </c>
      <c r="AF79" s="254"/>
      <c r="AG79" s="254">
        <f t="shared" si="11"/>
        <v>38562.639999999999</v>
      </c>
      <c r="AH79" s="240">
        <f t="shared" si="7"/>
        <v>0</v>
      </c>
    </row>
    <row r="80" spans="1:34" s="234" customFormat="1" ht="18" customHeight="1">
      <c r="A80" s="238" t="s">
        <v>191</v>
      </c>
      <c r="B80" s="246" t="s">
        <v>175</v>
      </c>
      <c r="C80" s="553" t="s">
        <v>59</v>
      </c>
      <c r="D80" s="554">
        <v>2221.35</v>
      </c>
      <c r="E80" s="554">
        <v>23.3</v>
      </c>
      <c r="F80" s="605">
        <f t="shared" si="8"/>
        <v>51757.46</v>
      </c>
      <c r="G80" s="606"/>
      <c r="H80" s="385">
        <f t="shared" si="9"/>
        <v>51757.46</v>
      </c>
      <c r="I80" s="607"/>
      <c r="J80" s="555"/>
      <c r="K80" s="555"/>
      <c r="L80" s="555"/>
      <c r="M80" s="555"/>
      <c r="N80" s="555"/>
      <c r="O80" s="555"/>
      <c r="P80" s="555"/>
      <c r="Q80" s="555">
        <v>11645.43</v>
      </c>
      <c r="R80" s="555"/>
      <c r="S80" s="555">
        <v>40112.03</v>
      </c>
      <c r="T80" s="555"/>
      <c r="U80" s="555"/>
      <c r="V80" s="555"/>
      <c r="W80" s="555"/>
      <c r="X80" s="555"/>
      <c r="Y80" s="555"/>
      <c r="Z80" s="555"/>
      <c r="AA80" s="555"/>
      <c r="AB80" s="555"/>
      <c r="AC80" s="555"/>
      <c r="AD80" s="556"/>
      <c r="AE80" s="357">
        <f t="shared" si="10"/>
        <v>51757.46</v>
      </c>
      <c r="AF80" s="254"/>
      <c r="AG80" s="254">
        <f t="shared" si="11"/>
        <v>51757.46</v>
      </c>
      <c r="AH80" s="240">
        <f t="shared" si="7"/>
        <v>0</v>
      </c>
    </row>
    <row r="81" spans="1:34" s="234" customFormat="1" ht="18" customHeight="1">
      <c r="A81" s="238" t="s">
        <v>192</v>
      </c>
      <c r="B81" s="246" t="s">
        <v>91</v>
      </c>
      <c r="C81" s="553" t="s">
        <v>59</v>
      </c>
      <c r="D81" s="554">
        <v>2940.75</v>
      </c>
      <c r="E81" s="554">
        <v>29.14</v>
      </c>
      <c r="F81" s="605">
        <f t="shared" si="8"/>
        <v>85693.46</v>
      </c>
      <c r="G81" s="606"/>
      <c r="H81" s="385">
        <f t="shared" si="9"/>
        <v>85693.46</v>
      </c>
      <c r="I81" s="607"/>
      <c r="J81" s="555"/>
      <c r="K81" s="555"/>
      <c r="L81" s="555"/>
      <c r="M81" s="555"/>
      <c r="N81" s="555"/>
      <c r="O81" s="555"/>
      <c r="P81" s="555"/>
      <c r="Q81" s="555"/>
      <c r="R81" s="555"/>
      <c r="S81" s="555">
        <v>47131.4</v>
      </c>
      <c r="T81" s="555">
        <v>38562.06</v>
      </c>
      <c r="U81" s="555"/>
      <c r="V81" s="555"/>
      <c r="W81" s="555"/>
      <c r="X81" s="555"/>
      <c r="Y81" s="555"/>
      <c r="Z81" s="555"/>
      <c r="AA81" s="555"/>
      <c r="AB81" s="555"/>
      <c r="AC81" s="555"/>
      <c r="AD81" s="556"/>
      <c r="AE81" s="357">
        <f t="shared" si="10"/>
        <v>85693.459999999992</v>
      </c>
      <c r="AF81" s="254"/>
      <c r="AG81" s="254">
        <f t="shared" si="11"/>
        <v>85693.459999999992</v>
      </c>
      <c r="AH81" s="240">
        <f t="shared" si="7"/>
        <v>0</v>
      </c>
    </row>
    <row r="82" spans="1:34" s="234" customFormat="1" ht="18" customHeight="1">
      <c r="A82" s="238" t="s">
        <v>193</v>
      </c>
      <c r="B82" s="246" t="s">
        <v>177</v>
      </c>
      <c r="C82" s="553" t="s">
        <v>59</v>
      </c>
      <c r="D82" s="554">
        <v>2940.75</v>
      </c>
      <c r="E82" s="554">
        <v>35.22</v>
      </c>
      <c r="F82" s="605">
        <f t="shared" si="8"/>
        <v>103573.22</v>
      </c>
      <c r="G82" s="606"/>
      <c r="H82" s="385">
        <f t="shared" si="9"/>
        <v>103573.22</v>
      </c>
      <c r="I82" s="607"/>
      <c r="J82" s="555"/>
      <c r="K82" s="555"/>
      <c r="L82" s="555"/>
      <c r="M82" s="555"/>
      <c r="N82" s="555"/>
      <c r="O82" s="555"/>
      <c r="P82" s="555"/>
      <c r="Q82" s="555"/>
      <c r="R82" s="555"/>
      <c r="S82" s="555"/>
      <c r="T82" s="555">
        <v>103573.22</v>
      </c>
      <c r="U82" s="555"/>
      <c r="V82" s="555"/>
      <c r="W82" s="555"/>
      <c r="X82" s="555"/>
      <c r="Y82" s="555"/>
      <c r="Z82" s="555"/>
      <c r="AA82" s="555"/>
      <c r="AB82" s="555"/>
      <c r="AC82" s="555"/>
      <c r="AD82" s="556"/>
      <c r="AE82" s="357">
        <f t="shared" si="10"/>
        <v>103573.22</v>
      </c>
      <c r="AF82" s="254"/>
      <c r="AG82" s="254">
        <f t="shared" si="11"/>
        <v>103573.22</v>
      </c>
      <c r="AH82" s="240">
        <f t="shared" si="7"/>
        <v>0</v>
      </c>
    </row>
    <row r="83" spans="1:34" s="234" customFormat="1" ht="18" customHeight="1">
      <c r="A83" s="238" t="s">
        <v>194</v>
      </c>
      <c r="B83" s="246" t="s">
        <v>195</v>
      </c>
      <c r="C83" s="553" t="s">
        <v>59</v>
      </c>
      <c r="D83" s="554">
        <v>6424.52</v>
      </c>
      <c r="E83" s="554">
        <v>9.48</v>
      </c>
      <c r="F83" s="605">
        <f t="shared" si="8"/>
        <v>60904.45</v>
      </c>
      <c r="G83" s="606"/>
      <c r="H83" s="385">
        <f t="shared" si="9"/>
        <v>60904.45</v>
      </c>
      <c r="I83" s="607"/>
      <c r="J83" s="555"/>
      <c r="K83" s="555"/>
      <c r="L83" s="555"/>
      <c r="M83" s="555"/>
      <c r="N83" s="555"/>
      <c r="O83" s="555"/>
      <c r="P83" s="555"/>
      <c r="Q83" s="555"/>
      <c r="R83" s="555"/>
      <c r="S83" s="555"/>
      <c r="T83" s="555">
        <v>60904.45</v>
      </c>
      <c r="U83" s="555"/>
      <c r="V83" s="555"/>
      <c r="W83" s="555"/>
      <c r="X83" s="555"/>
      <c r="Y83" s="555"/>
      <c r="Z83" s="555"/>
      <c r="AA83" s="555"/>
      <c r="AB83" s="555"/>
      <c r="AC83" s="555"/>
      <c r="AD83" s="556"/>
      <c r="AE83" s="357">
        <f t="shared" si="10"/>
        <v>60904.45</v>
      </c>
      <c r="AF83" s="254"/>
      <c r="AG83" s="254">
        <f t="shared" si="11"/>
        <v>60904.45</v>
      </c>
      <c r="AH83" s="240">
        <f t="shared" si="7"/>
        <v>0</v>
      </c>
    </row>
    <row r="84" spans="1:34" s="234" customFormat="1" ht="18" customHeight="1">
      <c r="A84" s="244" t="s">
        <v>196</v>
      </c>
      <c r="B84" s="245" t="s">
        <v>197</v>
      </c>
      <c r="C84" s="557"/>
      <c r="D84" s="558"/>
      <c r="E84" s="558"/>
      <c r="F84" s="605"/>
      <c r="G84" s="606"/>
      <c r="H84" s="385">
        <f t="shared" si="9"/>
        <v>0</v>
      </c>
      <c r="I84" s="607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6"/>
      <c r="AE84" s="357"/>
      <c r="AF84" s="254"/>
      <c r="AG84" s="254">
        <f t="shared" si="11"/>
        <v>0</v>
      </c>
      <c r="AH84" s="240">
        <f t="shared" si="7"/>
        <v>0</v>
      </c>
    </row>
    <row r="85" spans="1:34" s="234" customFormat="1" ht="18" customHeight="1">
      <c r="A85" s="238" t="s">
        <v>49</v>
      </c>
      <c r="B85" s="246" t="s">
        <v>198</v>
      </c>
      <c r="C85" s="553" t="s">
        <v>125</v>
      </c>
      <c r="D85" s="554">
        <v>225</v>
      </c>
      <c r="E85" s="554">
        <v>285.12</v>
      </c>
      <c r="F85" s="605">
        <f t="shared" si="8"/>
        <v>64152</v>
      </c>
      <c r="G85" s="606"/>
      <c r="H85" s="385">
        <f t="shared" si="9"/>
        <v>64152</v>
      </c>
      <c r="I85" s="607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>
        <f>+H85*0.5</f>
        <v>32076</v>
      </c>
      <c r="V85" s="555">
        <f>+H85*0.5</f>
        <v>32076</v>
      </c>
      <c r="W85" s="555"/>
      <c r="X85" s="555"/>
      <c r="Y85" s="555"/>
      <c r="Z85" s="555"/>
      <c r="AA85" s="555"/>
      <c r="AB85" s="555"/>
      <c r="AC85" s="555"/>
      <c r="AD85" s="556"/>
      <c r="AE85" s="357">
        <f t="shared" ref="AE85:AE94" si="12">SUM(I85:AD85)</f>
        <v>64152</v>
      </c>
      <c r="AF85" s="254"/>
      <c r="AG85" s="254">
        <f t="shared" si="11"/>
        <v>64152</v>
      </c>
      <c r="AH85" s="240">
        <f t="shared" si="7"/>
        <v>0</v>
      </c>
    </row>
    <row r="86" spans="1:34" s="234" customFormat="1" ht="18" customHeight="1">
      <c r="A86" s="238" t="s">
        <v>50</v>
      </c>
      <c r="B86" s="246" t="s">
        <v>199</v>
      </c>
      <c r="C86" s="553" t="s">
        <v>125</v>
      </c>
      <c r="D86" s="554">
        <v>1180</v>
      </c>
      <c r="E86" s="554">
        <v>205.92</v>
      </c>
      <c r="F86" s="605">
        <f t="shared" si="8"/>
        <v>242985.60000000001</v>
      </c>
      <c r="G86" s="606"/>
      <c r="H86" s="385">
        <f t="shared" si="9"/>
        <v>242985.60000000001</v>
      </c>
      <c r="I86" s="607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>
        <f>+H86*0.5</f>
        <v>121492.8</v>
      </c>
      <c r="V86" s="555">
        <f>+H86*0.5</f>
        <v>121492.8</v>
      </c>
      <c r="W86" s="555"/>
      <c r="X86" s="555"/>
      <c r="Y86" s="555"/>
      <c r="Z86" s="555"/>
      <c r="AA86" s="555"/>
      <c r="AB86" s="555"/>
      <c r="AC86" s="555"/>
      <c r="AD86" s="556"/>
      <c r="AE86" s="357">
        <f t="shared" si="12"/>
        <v>242985.60000000001</v>
      </c>
      <c r="AF86" s="254"/>
      <c r="AG86" s="254">
        <f t="shared" si="11"/>
        <v>242985.60000000001</v>
      </c>
      <c r="AH86" s="240">
        <f t="shared" si="7"/>
        <v>0</v>
      </c>
    </row>
    <row r="87" spans="1:34" s="234" customFormat="1" ht="18" customHeight="1">
      <c r="A87" s="238" t="s">
        <v>51</v>
      </c>
      <c r="B87" s="246" t="s">
        <v>165</v>
      </c>
      <c r="C87" s="553" t="s">
        <v>125</v>
      </c>
      <c r="D87" s="554">
        <v>450</v>
      </c>
      <c r="E87" s="554">
        <v>142.72</v>
      </c>
      <c r="F87" s="605">
        <f t="shared" si="8"/>
        <v>64224</v>
      </c>
      <c r="G87" s="606"/>
      <c r="H87" s="385">
        <f t="shared" si="9"/>
        <v>64224</v>
      </c>
      <c r="I87" s="607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>
        <f>+H87*0.5</f>
        <v>32112</v>
      </c>
      <c r="V87" s="555">
        <f>+H87*0.5</f>
        <v>32112</v>
      </c>
      <c r="W87" s="555"/>
      <c r="X87" s="555"/>
      <c r="Y87" s="555"/>
      <c r="Z87" s="555"/>
      <c r="AA87" s="555"/>
      <c r="AB87" s="555"/>
      <c r="AC87" s="555"/>
      <c r="AD87" s="556"/>
      <c r="AE87" s="357">
        <f t="shared" si="12"/>
        <v>64224</v>
      </c>
      <c r="AF87" s="254"/>
      <c r="AG87" s="254">
        <f t="shared" si="11"/>
        <v>64224</v>
      </c>
      <c r="AH87" s="240">
        <f t="shared" si="7"/>
        <v>0</v>
      </c>
    </row>
    <row r="88" spans="1:34" s="234" customFormat="1" ht="18" customHeight="1">
      <c r="A88" s="238" t="s">
        <v>52</v>
      </c>
      <c r="B88" s="246" t="s">
        <v>200</v>
      </c>
      <c r="C88" s="553" t="s">
        <v>201</v>
      </c>
      <c r="D88" s="554">
        <v>675.29</v>
      </c>
      <c r="E88" s="554">
        <v>42.21</v>
      </c>
      <c r="F88" s="605">
        <f t="shared" si="8"/>
        <v>28503.99</v>
      </c>
      <c r="G88" s="606"/>
      <c r="H88" s="385">
        <f t="shared" si="9"/>
        <v>28503.99</v>
      </c>
      <c r="I88" s="607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>
        <f>+H88*0.5</f>
        <v>14251.995000000001</v>
      </c>
      <c r="W88" s="555">
        <f>+H88*0.5</f>
        <v>14251.995000000001</v>
      </c>
      <c r="X88" s="555"/>
      <c r="Y88" s="555"/>
      <c r="Z88" s="555"/>
      <c r="AA88" s="555"/>
      <c r="AB88" s="555"/>
      <c r="AC88" s="555"/>
      <c r="AD88" s="556"/>
      <c r="AE88" s="357">
        <f t="shared" si="12"/>
        <v>28503.99</v>
      </c>
      <c r="AF88" s="254"/>
      <c r="AG88" s="254">
        <f t="shared" si="11"/>
        <v>28503.99</v>
      </c>
      <c r="AH88" s="240">
        <f t="shared" si="7"/>
        <v>0</v>
      </c>
    </row>
    <row r="89" spans="1:34" s="234" customFormat="1" ht="18" customHeight="1">
      <c r="A89" s="238" t="s">
        <v>202</v>
      </c>
      <c r="B89" s="246" t="s">
        <v>203</v>
      </c>
      <c r="C89" s="553" t="s">
        <v>56</v>
      </c>
      <c r="D89" s="554">
        <v>42</v>
      </c>
      <c r="E89" s="554">
        <v>264</v>
      </c>
      <c r="F89" s="605">
        <f t="shared" si="8"/>
        <v>11088</v>
      </c>
      <c r="G89" s="606"/>
      <c r="H89" s="385">
        <f t="shared" si="9"/>
        <v>11088</v>
      </c>
      <c r="I89" s="607"/>
      <c r="J89" s="555"/>
      <c r="K89" s="555"/>
      <c r="L89" s="555"/>
      <c r="M89" s="555"/>
      <c r="N89" s="555"/>
      <c r="O89" s="555"/>
      <c r="P89" s="555"/>
      <c r="Q89" s="555"/>
      <c r="R89" s="555"/>
      <c r="S89" s="555"/>
      <c r="T89" s="555"/>
      <c r="U89" s="555"/>
      <c r="V89" s="555">
        <f t="shared" ref="V89:V94" si="13">+H89*0.5</f>
        <v>5544</v>
      </c>
      <c r="W89" s="555">
        <f t="shared" ref="W89:W94" si="14">+H89*0.5</f>
        <v>5544</v>
      </c>
      <c r="X89" s="555"/>
      <c r="Y89" s="555"/>
      <c r="Z89" s="555"/>
      <c r="AA89" s="555"/>
      <c r="AB89" s="555"/>
      <c r="AC89" s="555"/>
      <c r="AD89" s="556"/>
      <c r="AE89" s="357">
        <f t="shared" si="12"/>
        <v>11088</v>
      </c>
      <c r="AF89" s="254"/>
      <c r="AG89" s="254">
        <f t="shared" si="11"/>
        <v>11088</v>
      </c>
      <c r="AH89" s="240">
        <f t="shared" si="7"/>
        <v>0</v>
      </c>
    </row>
    <row r="90" spans="1:34" s="234" customFormat="1" ht="18" customHeight="1">
      <c r="A90" s="238" t="s">
        <v>204</v>
      </c>
      <c r="B90" s="246" t="s">
        <v>205</v>
      </c>
      <c r="C90" s="553" t="s">
        <v>56</v>
      </c>
      <c r="D90" s="554">
        <v>9</v>
      </c>
      <c r="E90" s="554">
        <v>250</v>
      </c>
      <c r="F90" s="605">
        <f t="shared" si="8"/>
        <v>2250</v>
      </c>
      <c r="G90" s="606"/>
      <c r="H90" s="385">
        <f t="shared" si="9"/>
        <v>2250</v>
      </c>
      <c r="I90" s="607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>
        <f t="shared" si="13"/>
        <v>1125</v>
      </c>
      <c r="W90" s="555">
        <f t="shared" si="14"/>
        <v>1125</v>
      </c>
      <c r="X90" s="555"/>
      <c r="Y90" s="555"/>
      <c r="Z90" s="555"/>
      <c r="AA90" s="555"/>
      <c r="AB90" s="555"/>
      <c r="AC90" s="555"/>
      <c r="AD90" s="556"/>
      <c r="AE90" s="357">
        <f t="shared" si="12"/>
        <v>2250</v>
      </c>
      <c r="AF90" s="254"/>
      <c r="AG90" s="254">
        <f t="shared" si="11"/>
        <v>2250</v>
      </c>
      <c r="AH90" s="240">
        <f t="shared" si="7"/>
        <v>0</v>
      </c>
    </row>
    <row r="91" spans="1:34" s="234" customFormat="1" ht="18" customHeight="1">
      <c r="A91" s="238" t="s">
        <v>206</v>
      </c>
      <c r="B91" s="246" t="s">
        <v>207</v>
      </c>
      <c r="C91" s="553" t="s">
        <v>56</v>
      </c>
      <c r="D91" s="554">
        <v>16</v>
      </c>
      <c r="E91" s="554">
        <v>57</v>
      </c>
      <c r="F91" s="605">
        <f t="shared" si="8"/>
        <v>912</v>
      </c>
      <c r="G91" s="606"/>
      <c r="H91" s="385">
        <f t="shared" si="9"/>
        <v>912</v>
      </c>
      <c r="I91" s="607"/>
      <c r="J91" s="555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>
        <f t="shared" si="13"/>
        <v>456</v>
      </c>
      <c r="W91" s="555">
        <f t="shared" si="14"/>
        <v>456</v>
      </c>
      <c r="X91" s="555"/>
      <c r="Y91" s="555"/>
      <c r="Z91" s="555"/>
      <c r="AA91" s="555"/>
      <c r="AB91" s="555"/>
      <c r="AC91" s="555"/>
      <c r="AD91" s="556"/>
      <c r="AE91" s="357">
        <f t="shared" si="12"/>
        <v>912</v>
      </c>
      <c r="AF91" s="254"/>
      <c r="AG91" s="254">
        <f t="shared" si="11"/>
        <v>912</v>
      </c>
      <c r="AH91" s="240">
        <f t="shared" si="7"/>
        <v>0</v>
      </c>
    </row>
    <row r="92" spans="1:34" s="234" customFormat="1" ht="18" customHeight="1">
      <c r="A92" s="238" t="s">
        <v>208</v>
      </c>
      <c r="B92" s="246" t="s">
        <v>209</v>
      </c>
      <c r="C92" s="553" t="s">
        <v>59</v>
      </c>
      <c r="D92" s="554">
        <v>178.07</v>
      </c>
      <c r="E92" s="554">
        <v>140.07</v>
      </c>
      <c r="F92" s="605">
        <f t="shared" si="8"/>
        <v>24942.26</v>
      </c>
      <c r="G92" s="606"/>
      <c r="H92" s="385">
        <f t="shared" si="9"/>
        <v>24942.26</v>
      </c>
      <c r="I92" s="607"/>
      <c r="J92" s="555"/>
      <c r="K92" s="555"/>
      <c r="L92" s="555"/>
      <c r="M92" s="555"/>
      <c r="N92" s="555"/>
      <c r="O92" s="555"/>
      <c r="P92" s="555"/>
      <c r="Q92" s="555"/>
      <c r="R92" s="555"/>
      <c r="S92" s="555"/>
      <c r="T92" s="555"/>
      <c r="U92" s="555"/>
      <c r="V92" s="555">
        <f t="shared" si="13"/>
        <v>12471.13</v>
      </c>
      <c r="W92" s="555">
        <f t="shared" si="14"/>
        <v>12471.13</v>
      </c>
      <c r="X92" s="555"/>
      <c r="Y92" s="555"/>
      <c r="Z92" s="555"/>
      <c r="AA92" s="555"/>
      <c r="AB92" s="555"/>
      <c r="AC92" s="555"/>
      <c r="AD92" s="556"/>
      <c r="AE92" s="357">
        <f t="shared" si="12"/>
        <v>24942.26</v>
      </c>
      <c r="AF92" s="254"/>
      <c r="AG92" s="254">
        <f t="shared" si="11"/>
        <v>24942.26</v>
      </c>
      <c r="AH92" s="240">
        <f t="shared" si="7"/>
        <v>0</v>
      </c>
    </row>
    <row r="93" spans="1:34" s="234" customFormat="1" ht="18" customHeight="1">
      <c r="A93" s="238" t="s">
        <v>210</v>
      </c>
      <c r="B93" s="246" t="s">
        <v>211</v>
      </c>
      <c r="C93" s="553" t="s">
        <v>125</v>
      </c>
      <c r="D93" s="554">
        <v>73.2</v>
      </c>
      <c r="E93" s="554">
        <v>10.67</v>
      </c>
      <c r="F93" s="605">
        <f t="shared" si="8"/>
        <v>781.04</v>
      </c>
      <c r="G93" s="606"/>
      <c r="H93" s="385">
        <f t="shared" si="9"/>
        <v>781.04</v>
      </c>
      <c r="I93" s="607"/>
      <c r="J93" s="555"/>
      <c r="K93" s="555"/>
      <c r="L93" s="555"/>
      <c r="M93" s="555"/>
      <c r="N93" s="555"/>
      <c r="O93" s="555"/>
      <c r="P93" s="555"/>
      <c r="Q93" s="555"/>
      <c r="R93" s="555"/>
      <c r="S93" s="555"/>
      <c r="T93" s="555"/>
      <c r="U93" s="555"/>
      <c r="V93" s="555">
        <f t="shared" si="13"/>
        <v>390.52</v>
      </c>
      <c r="W93" s="555">
        <f t="shared" si="14"/>
        <v>390.52</v>
      </c>
      <c r="X93" s="555"/>
      <c r="Y93" s="555"/>
      <c r="Z93" s="555"/>
      <c r="AA93" s="555"/>
      <c r="AB93" s="555"/>
      <c r="AC93" s="555"/>
      <c r="AD93" s="556"/>
      <c r="AE93" s="357">
        <f t="shared" si="12"/>
        <v>781.04</v>
      </c>
      <c r="AF93" s="254"/>
      <c r="AG93" s="254">
        <f t="shared" si="11"/>
        <v>781.04</v>
      </c>
      <c r="AH93" s="240">
        <f t="shared" si="7"/>
        <v>0</v>
      </c>
    </row>
    <row r="94" spans="1:34" s="234" customFormat="1" ht="18" customHeight="1">
      <c r="A94" s="238" t="s">
        <v>212</v>
      </c>
      <c r="B94" s="246" t="s">
        <v>213</v>
      </c>
      <c r="C94" s="553" t="s">
        <v>214</v>
      </c>
      <c r="D94" s="554">
        <v>325</v>
      </c>
      <c r="E94" s="554">
        <v>145.19999999999999</v>
      </c>
      <c r="F94" s="605">
        <f t="shared" si="8"/>
        <v>47190</v>
      </c>
      <c r="G94" s="606"/>
      <c r="H94" s="385">
        <f t="shared" si="9"/>
        <v>47190</v>
      </c>
      <c r="I94" s="607"/>
      <c r="J94" s="555"/>
      <c r="K94" s="555"/>
      <c r="L94" s="555"/>
      <c r="M94" s="555"/>
      <c r="N94" s="555"/>
      <c r="O94" s="555"/>
      <c r="P94" s="555"/>
      <c r="Q94" s="555"/>
      <c r="R94" s="555"/>
      <c r="S94" s="555"/>
      <c r="T94" s="555"/>
      <c r="U94" s="555"/>
      <c r="V94" s="555">
        <f t="shared" si="13"/>
        <v>23595</v>
      </c>
      <c r="W94" s="555">
        <f t="shared" si="14"/>
        <v>23595</v>
      </c>
      <c r="X94" s="555"/>
      <c r="Y94" s="555"/>
      <c r="Z94" s="555"/>
      <c r="AA94" s="555"/>
      <c r="AB94" s="555"/>
      <c r="AC94" s="555"/>
      <c r="AD94" s="556"/>
      <c r="AE94" s="357">
        <f t="shared" si="12"/>
        <v>47190</v>
      </c>
      <c r="AF94" s="254"/>
      <c r="AG94" s="254">
        <f t="shared" si="11"/>
        <v>47190</v>
      </c>
      <c r="AH94" s="240">
        <f t="shared" si="7"/>
        <v>0</v>
      </c>
    </row>
    <row r="95" spans="1:34" s="234" customFormat="1" ht="18" customHeight="1">
      <c r="A95" s="244" t="s">
        <v>215</v>
      </c>
      <c r="B95" s="245" t="s">
        <v>216</v>
      </c>
      <c r="C95" s="557"/>
      <c r="D95" s="558"/>
      <c r="E95" s="558"/>
      <c r="F95" s="605"/>
      <c r="G95" s="606"/>
      <c r="H95" s="385">
        <f t="shared" si="9"/>
        <v>0</v>
      </c>
      <c r="I95" s="607"/>
      <c r="J95" s="555"/>
      <c r="K95" s="555"/>
      <c r="L95" s="555"/>
      <c r="M95" s="555"/>
      <c r="N95" s="555"/>
      <c r="O95" s="555"/>
      <c r="P95" s="555"/>
      <c r="Q95" s="555"/>
      <c r="R95" s="555"/>
      <c r="S95" s="555"/>
      <c r="T95" s="555"/>
      <c r="U95" s="555"/>
      <c r="V95" s="555"/>
      <c r="W95" s="555"/>
      <c r="X95" s="555"/>
      <c r="Y95" s="555"/>
      <c r="Z95" s="555"/>
      <c r="AA95" s="555"/>
      <c r="AB95" s="555"/>
      <c r="AC95" s="555"/>
      <c r="AD95" s="556"/>
      <c r="AE95" s="357"/>
      <c r="AF95" s="254"/>
      <c r="AG95" s="254">
        <f t="shared" si="11"/>
        <v>0</v>
      </c>
      <c r="AH95" s="240">
        <f t="shared" si="7"/>
        <v>0</v>
      </c>
    </row>
    <row r="96" spans="1:34" s="234" customFormat="1" ht="18" customHeight="1">
      <c r="A96" s="238" t="s">
        <v>217</v>
      </c>
      <c r="B96" s="246" t="s">
        <v>218</v>
      </c>
      <c r="C96" s="553" t="s">
        <v>59</v>
      </c>
      <c r="D96" s="554">
        <v>3324.8</v>
      </c>
      <c r="E96" s="554">
        <v>46.85</v>
      </c>
      <c r="F96" s="605">
        <f t="shared" si="8"/>
        <v>155766.88</v>
      </c>
      <c r="G96" s="606"/>
      <c r="H96" s="385">
        <f t="shared" si="9"/>
        <v>155766.88</v>
      </c>
      <c r="I96" s="607"/>
      <c r="J96" s="555"/>
      <c r="K96" s="555"/>
      <c r="L96" s="555"/>
      <c r="M96" s="555"/>
      <c r="N96" s="555"/>
      <c r="O96" s="555"/>
      <c r="P96" s="555"/>
      <c r="Q96" s="555"/>
      <c r="R96" s="555"/>
      <c r="S96" s="555"/>
      <c r="T96" s="555"/>
      <c r="U96" s="555"/>
      <c r="V96" s="555">
        <f>+H96*0.2</f>
        <v>31153.376000000004</v>
      </c>
      <c r="W96" s="555">
        <f>+H96*0.8</f>
        <v>124613.50400000002</v>
      </c>
      <c r="X96" s="555"/>
      <c r="Y96" s="555"/>
      <c r="Z96" s="555"/>
      <c r="AA96" s="555"/>
      <c r="AB96" s="555"/>
      <c r="AC96" s="555"/>
      <c r="AD96" s="556"/>
      <c r="AE96" s="357">
        <f t="shared" ref="AE96:AE105" si="15">SUM(I96:AD96)</f>
        <v>155766.88</v>
      </c>
      <c r="AF96" s="254"/>
      <c r="AG96" s="254">
        <f t="shared" si="11"/>
        <v>155766.88</v>
      </c>
      <c r="AH96" s="240">
        <f t="shared" si="7"/>
        <v>0</v>
      </c>
    </row>
    <row r="97" spans="1:34" s="234" customFormat="1" ht="18" customHeight="1">
      <c r="A97" s="238" t="s">
        <v>219</v>
      </c>
      <c r="B97" s="246" t="s">
        <v>220</v>
      </c>
      <c r="C97" s="553" t="s">
        <v>59</v>
      </c>
      <c r="D97" s="554">
        <v>9097.74</v>
      </c>
      <c r="E97" s="554">
        <v>51.35</v>
      </c>
      <c r="F97" s="605">
        <f t="shared" si="8"/>
        <v>467168.95</v>
      </c>
      <c r="G97" s="606"/>
      <c r="H97" s="385">
        <f t="shared" si="9"/>
        <v>467168.95</v>
      </c>
      <c r="I97" s="607"/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555">
        <f>+H97*0.1</f>
        <v>46716.895000000004</v>
      </c>
      <c r="W97" s="555">
        <f>+F97*0.7</f>
        <v>327018.26500000001</v>
      </c>
      <c r="X97" s="555">
        <f>+F97*0.2</f>
        <v>93433.790000000008</v>
      </c>
      <c r="Y97" s="555"/>
      <c r="Z97" s="555"/>
      <c r="AA97" s="555"/>
      <c r="AB97" s="555"/>
      <c r="AC97" s="555"/>
      <c r="AD97" s="556"/>
      <c r="AE97" s="357">
        <f t="shared" si="15"/>
        <v>467168.95000000007</v>
      </c>
      <c r="AF97" s="254"/>
      <c r="AG97" s="254">
        <f t="shared" si="11"/>
        <v>467168.95000000007</v>
      </c>
      <c r="AH97" s="240">
        <f t="shared" si="7"/>
        <v>0</v>
      </c>
    </row>
    <row r="98" spans="1:34" s="234" customFormat="1" ht="18" customHeight="1">
      <c r="A98" s="238" t="s">
        <v>221</v>
      </c>
      <c r="B98" s="246" t="s">
        <v>222</v>
      </c>
      <c r="C98" s="553" t="s">
        <v>59</v>
      </c>
      <c r="D98" s="554">
        <v>5300.26</v>
      </c>
      <c r="E98" s="554">
        <v>24.68</v>
      </c>
      <c r="F98" s="605">
        <f t="shared" si="8"/>
        <v>130810.42</v>
      </c>
      <c r="G98" s="606"/>
      <c r="H98" s="385">
        <f t="shared" si="9"/>
        <v>130810.42</v>
      </c>
      <c r="I98" s="607"/>
      <c r="J98" s="555"/>
      <c r="K98" s="555"/>
      <c r="L98" s="555"/>
      <c r="M98" s="555"/>
      <c r="N98" s="555"/>
      <c r="O98" s="555"/>
      <c r="P98" s="555"/>
      <c r="Q98" s="555"/>
      <c r="R98" s="555"/>
      <c r="S98" s="555"/>
      <c r="T98" s="555"/>
      <c r="U98" s="555"/>
      <c r="V98" s="555"/>
      <c r="W98" s="555"/>
      <c r="X98" s="555">
        <f>+F98*0.6</f>
        <v>78486.251999999993</v>
      </c>
      <c r="Y98" s="555">
        <f>+F98*0.2</f>
        <v>26162.084000000003</v>
      </c>
      <c r="Z98" s="555">
        <f>+H98*0.2</f>
        <v>26162.084000000003</v>
      </c>
      <c r="AA98" s="555"/>
      <c r="AB98" s="555"/>
      <c r="AC98" s="555"/>
      <c r="AD98" s="556"/>
      <c r="AE98" s="357">
        <f t="shared" si="15"/>
        <v>130810.42</v>
      </c>
      <c r="AF98" s="254"/>
      <c r="AG98" s="254">
        <f t="shared" si="11"/>
        <v>130810.42</v>
      </c>
      <c r="AH98" s="240">
        <f t="shared" si="7"/>
        <v>0</v>
      </c>
    </row>
    <row r="99" spans="1:34" s="234" customFormat="1" ht="18" customHeight="1">
      <c r="A99" s="238" t="s">
        <v>223</v>
      </c>
      <c r="B99" s="246" t="s">
        <v>224</v>
      </c>
      <c r="C99" s="553" t="s">
        <v>59</v>
      </c>
      <c r="D99" s="554">
        <v>12589.09</v>
      </c>
      <c r="E99" s="554">
        <v>51.35</v>
      </c>
      <c r="F99" s="605">
        <f t="shared" si="8"/>
        <v>646449.77</v>
      </c>
      <c r="G99" s="606"/>
      <c r="H99" s="385">
        <f t="shared" si="9"/>
        <v>646449.77</v>
      </c>
      <c r="I99" s="607"/>
      <c r="J99" s="555"/>
      <c r="K99" s="555"/>
      <c r="L99" s="555"/>
      <c r="M99" s="555"/>
      <c r="N99" s="555"/>
      <c r="O99" s="555"/>
      <c r="P99" s="555"/>
      <c r="Q99" s="555"/>
      <c r="R99" s="555"/>
      <c r="S99" s="555"/>
      <c r="T99" s="555"/>
      <c r="U99" s="555"/>
      <c r="V99" s="555"/>
      <c r="W99" s="555"/>
      <c r="X99" s="555">
        <f>+F99*0.3</f>
        <v>193934.93100000001</v>
      </c>
      <c r="Y99" s="555">
        <f>+F99*0.5</f>
        <v>323224.88500000001</v>
      </c>
      <c r="Z99" s="555">
        <f>+H99*0.2</f>
        <v>129289.95400000001</v>
      </c>
      <c r="AA99" s="555"/>
      <c r="AB99" s="555"/>
      <c r="AC99" s="555"/>
      <c r="AD99" s="556"/>
      <c r="AE99" s="357">
        <f t="shared" si="15"/>
        <v>646449.77</v>
      </c>
      <c r="AF99" s="254"/>
      <c r="AG99" s="254">
        <f t="shared" si="11"/>
        <v>646449.77</v>
      </c>
      <c r="AH99" s="240">
        <f t="shared" si="7"/>
        <v>0</v>
      </c>
    </row>
    <row r="100" spans="1:34" s="234" customFormat="1" ht="18" customHeight="1">
      <c r="A100" s="238" t="s">
        <v>225</v>
      </c>
      <c r="B100" s="246" t="s">
        <v>226</v>
      </c>
      <c r="C100" s="553" t="s">
        <v>59</v>
      </c>
      <c r="D100" s="554">
        <v>5032.37</v>
      </c>
      <c r="E100" s="554">
        <v>24.68</v>
      </c>
      <c r="F100" s="605">
        <f t="shared" si="8"/>
        <v>124198.89</v>
      </c>
      <c r="G100" s="606"/>
      <c r="H100" s="385">
        <f t="shared" si="9"/>
        <v>124198.89</v>
      </c>
      <c r="I100" s="607"/>
      <c r="J100" s="555"/>
      <c r="K100" s="555"/>
      <c r="L100" s="555"/>
      <c r="M100" s="555"/>
      <c r="N100" s="555"/>
      <c r="O100" s="555"/>
      <c r="P100" s="555"/>
      <c r="Q100" s="555"/>
      <c r="R100" s="555"/>
      <c r="S100" s="555"/>
      <c r="T100" s="555"/>
      <c r="U100" s="555"/>
      <c r="V100" s="555"/>
      <c r="W100" s="555"/>
      <c r="X100" s="555"/>
      <c r="Y100" s="555">
        <f>+H100*0.5</f>
        <v>62099.445</v>
      </c>
      <c r="Z100" s="555">
        <f>+H100*0.5</f>
        <v>62099.445</v>
      </c>
      <c r="AA100" s="555"/>
      <c r="AB100" s="555"/>
      <c r="AC100" s="555"/>
      <c r="AD100" s="556"/>
      <c r="AE100" s="357">
        <f t="shared" si="15"/>
        <v>124198.89</v>
      </c>
      <c r="AF100" s="254"/>
      <c r="AG100" s="254">
        <f t="shared" si="11"/>
        <v>124198.89</v>
      </c>
      <c r="AH100" s="240">
        <f t="shared" si="7"/>
        <v>0</v>
      </c>
    </row>
    <row r="101" spans="1:34" s="234" customFormat="1" ht="18" customHeight="1">
      <c r="A101" s="238" t="s">
        <v>227</v>
      </c>
      <c r="B101" s="246" t="s">
        <v>228</v>
      </c>
      <c r="C101" s="553" t="s">
        <v>59</v>
      </c>
      <c r="D101" s="554">
        <v>217.95</v>
      </c>
      <c r="E101" s="554">
        <v>52.85</v>
      </c>
      <c r="F101" s="605">
        <f t="shared" si="8"/>
        <v>11518.66</v>
      </c>
      <c r="G101" s="606"/>
      <c r="H101" s="385">
        <f t="shared" si="9"/>
        <v>11518.66</v>
      </c>
      <c r="I101" s="607"/>
      <c r="J101" s="555"/>
      <c r="K101" s="555"/>
      <c r="L101" s="555"/>
      <c r="M101" s="555"/>
      <c r="N101" s="555"/>
      <c r="O101" s="555"/>
      <c r="P101" s="555"/>
      <c r="Q101" s="555"/>
      <c r="R101" s="555"/>
      <c r="S101" s="555"/>
      <c r="T101" s="555"/>
      <c r="U101" s="555"/>
      <c r="V101" s="555"/>
      <c r="W101" s="555"/>
      <c r="X101" s="555"/>
      <c r="Y101" s="555">
        <f>+H101*0.5</f>
        <v>5759.33</v>
      </c>
      <c r="Z101" s="555">
        <f>+H101*0.5</f>
        <v>5759.33</v>
      </c>
      <c r="AA101" s="555"/>
      <c r="AB101" s="555"/>
      <c r="AC101" s="555"/>
      <c r="AD101" s="556"/>
      <c r="AE101" s="357">
        <f t="shared" si="15"/>
        <v>11518.66</v>
      </c>
      <c r="AF101" s="254"/>
      <c r="AG101" s="254">
        <f t="shared" si="11"/>
        <v>11518.66</v>
      </c>
      <c r="AH101" s="240">
        <f t="shared" si="7"/>
        <v>0</v>
      </c>
    </row>
    <row r="102" spans="1:34" s="234" customFormat="1" ht="18" customHeight="1">
      <c r="A102" s="238" t="s">
        <v>229</v>
      </c>
      <c r="B102" s="246" t="s">
        <v>230</v>
      </c>
      <c r="C102" s="553" t="s">
        <v>59</v>
      </c>
      <c r="D102" s="554">
        <v>3358.29</v>
      </c>
      <c r="E102" s="554">
        <v>78.459999999999994</v>
      </c>
      <c r="F102" s="605">
        <f t="shared" si="8"/>
        <v>263491.43</v>
      </c>
      <c r="G102" s="606"/>
      <c r="H102" s="385">
        <f t="shared" si="9"/>
        <v>263491.43</v>
      </c>
      <c r="I102" s="607"/>
      <c r="J102" s="555"/>
      <c r="K102" s="555"/>
      <c r="L102" s="555"/>
      <c r="M102" s="555"/>
      <c r="N102" s="555"/>
      <c r="O102" s="555"/>
      <c r="P102" s="555"/>
      <c r="Q102" s="555"/>
      <c r="R102" s="555"/>
      <c r="S102" s="555"/>
      <c r="T102" s="555"/>
      <c r="U102" s="555"/>
      <c r="V102" s="555"/>
      <c r="W102" s="555"/>
      <c r="X102" s="555"/>
      <c r="Y102" s="555"/>
      <c r="Z102" s="555">
        <v>263491.43</v>
      </c>
      <c r="AA102" s="555"/>
      <c r="AB102" s="555"/>
      <c r="AC102" s="555"/>
      <c r="AD102" s="556"/>
      <c r="AE102" s="357">
        <f t="shared" si="15"/>
        <v>263491.43</v>
      </c>
      <c r="AF102" s="254"/>
      <c r="AG102" s="254">
        <f t="shared" si="11"/>
        <v>263491.43</v>
      </c>
      <c r="AH102" s="240">
        <f t="shared" si="7"/>
        <v>0</v>
      </c>
    </row>
    <row r="103" spans="1:34" s="234" customFormat="1" ht="18" customHeight="1">
      <c r="A103" s="238" t="s">
        <v>231</v>
      </c>
      <c r="B103" s="246" t="s">
        <v>232</v>
      </c>
      <c r="C103" s="553" t="s">
        <v>59</v>
      </c>
      <c r="D103" s="554">
        <v>1382.13</v>
      </c>
      <c r="E103" s="554">
        <v>28.62</v>
      </c>
      <c r="F103" s="605">
        <f t="shared" si="8"/>
        <v>39556.559999999998</v>
      </c>
      <c r="G103" s="606"/>
      <c r="H103" s="385">
        <f t="shared" si="9"/>
        <v>39556.559999999998</v>
      </c>
      <c r="I103" s="607"/>
      <c r="J103" s="555"/>
      <c r="K103" s="555"/>
      <c r="L103" s="555"/>
      <c r="M103" s="555"/>
      <c r="N103" s="555"/>
      <c r="O103" s="555"/>
      <c r="P103" s="555"/>
      <c r="Q103" s="555"/>
      <c r="R103" s="555"/>
      <c r="S103" s="555"/>
      <c r="T103" s="555"/>
      <c r="U103" s="555"/>
      <c r="V103" s="555"/>
      <c r="W103" s="555"/>
      <c r="X103" s="555"/>
      <c r="Y103" s="555"/>
      <c r="Z103" s="555">
        <v>39556.559999999998</v>
      </c>
      <c r="AA103" s="555"/>
      <c r="AB103" s="555"/>
      <c r="AC103" s="555"/>
      <c r="AD103" s="556"/>
      <c r="AE103" s="357">
        <f t="shared" si="15"/>
        <v>39556.559999999998</v>
      </c>
      <c r="AF103" s="254"/>
      <c r="AG103" s="254">
        <f t="shared" si="11"/>
        <v>39556.559999999998</v>
      </c>
      <c r="AH103" s="240">
        <f t="shared" si="7"/>
        <v>0</v>
      </c>
    </row>
    <row r="104" spans="1:34" s="234" customFormat="1" ht="18" customHeight="1">
      <c r="A104" s="238" t="s">
        <v>233</v>
      </c>
      <c r="B104" s="246" t="s">
        <v>234</v>
      </c>
      <c r="C104" s="553" t="s">
        <v>59</v>
      </c>
      <c r="D104" s="554">
        <v>1113.6300000000001</v>
      </c>
      <c r="E104" s="554">
        <v>28.62</v>
      </c>
      <c r="F104" s="605">
        <f t="shared" si="8"/>
        <v>31872.09</v>
      </c>
      <c r="G104" s="606"/>
      <c r="H104" s="385">
        <f t="shared" si="9"/>
        <v>31872.09</v>
      </c>
      <c r="I104" s="607"/>
      <c r="J104" s="555"/>
      <c r="K104" s="555"/>
      <c r="L104" s="555"/>
      <c r="M104" s="555"/>
      <c r="N104" s="555"/>
      <c r="O104" s="555"/>
      <c r="P104" s="555"/>
      <c r="Q104" s="555"/>
      <c r="R104" s="555"/>
      <c r="S104" s="555"/>
      <c r="T104" s="555"/>
      <c r="U104" s="555"/>
      <c r="V104" s="555"/>
      <c r="W104" s="555"/>
      <c r="X104" s="555"/>
      <c r="Y104" s="555"/>
      <c r="Z104" s="555">
        <v>31872.09</v>
      </c>
      <c r="AA104" s="555"/>
      <c r="AB104" s="555"/>
      <c r="AC104" s="555"/>
      <c r="AD104" s="556"/>
      <c r="AE104" s="357">
        <f t="shared" si="15"/>
        <v>31872.09</v>
      </c>
      <c r="AF104" s="254"/>
      <c r="AG104" s="254">
        <f t="shared" si="11"/>
        <v>31872.09</v>
      </c>
      <c r="AH104" s="240">
        <f t="shared" si="7"/>
        <v>0</v>
      </c>
    </row>
    <row r="105" spans="1:34" s="234" customFormat="1" ht="18" customHeight="1">
      <c r="A105" s="238" t="s">
        <v>235</v>
      </c>
      <c r="B105" s="246" t="s">
        <v>95</v>
      </c>
      <c r="C105" s="553" t="s">
        <v>59</v>
      </c>
      <c r="D105" s="554">
        <v>106.93</v>
      </c>
      <c r="E105" s="554">
        <v>52.85</v>
      </c>
      <c r="F105" s="605">
        <f t="shared" si="8"/>
        <v>5651.25</v>
      </c>
      <c r="G105" s="606"/>
      <c r="H105" s="385">
        <f t="shared" si="9"/>
        <v>5651.25</v>
      </c>
      <c r="I105" s="607"/>
      <c r="J105" s="555"/>
      <c r="K105" s="555"/>
      <c r="L105" s="555"/>
      <c r="M105" s="555"/>
      <c r="N105" s="555"/>
      <c r="O105" s="555"/>
      <c r="P105" s="555"/>
      <c r="Q105" s="555"/>
      <c r="R105" s="555"/>
      <c r="S105" s="555"/>
      <c r="T105" s="555"/>
      <c r="U105" s="555"/>
      <c r="V105" s="555"/>
      <c r="W105" s="555"/>
      <c r="X105" s="555"/>
      <c r="Y105" s="555"/>
      <c r="Z105" s="555">
        <v>5651.25</v>
      </c>
      <c r="AA105" s="555"/>
      <c r="AB105" s="555"/>
      <c r="AC105" s="555"/>
      <c r="AD105" s="556"/>
      <c r="AE105" s="357">
        <f t="shared" si="15"/>
        <v>5651.25</v>
      </c>
      <c r="AF105" s="254"/>
      <c r="AG105" s="254">
        <f t="shared" si="11"/>
        <v>5651.25</v>
      </c>
      <c r="AH105" s="240">
        <f t="shared" si="7"/>
        <v>0</v>
      </c>
    </row>
    <row r="106" spans="1:34" s="234" customFormat="1" ht="18" customHeight="1">
      <c r="A106" s="244" t="s">
        <v>236</v>
      </c>
      <c r="B106" s="245" t="s">
        <v>237</v>
      </c>
      <c r="C106" s="557"/>
      <c r="D106" s="558"/>
      <c r="E106" s="558"/>
      <c r="F106" s="605"/>
      <c r="G106" s="606"/>
      <c r="H106" s="385">
        <f t="shared" si="9"/>
        <v>0</v>
      </c>
      <c r="I106" s="607"/>
      <c r="J106" s="555"/>
      <c r="K106" s="555"/>
      <c r="L106" s="555"/>
      <c r="M106" s="555"/>
      <c r="N106" s="555"/>
      <c r="O106" s="555"/>
      <c r="P106" s="555"/>
      <c r="Q106" s="555"/>
      <c r="R106" s="555"/>
      <c r="S106" s="555"/>
      <c r="T106" s="555"/>
      <c r="U106" s="555"/>
      <c r="V106" s="555"/>
      <c r="W106" s="555"/>
      <c r="X106" s="555"/>
      <c r="Y106" s="555"/>
      <c r="Z106" s="555"/>
      <c r="AA106" s="555"/>
      <c r="AB106" s="555"/>
      <c r="AC106" s="555"/>
      <c r="AD106" s="556"/>
      <c r="AE106" s="357"/>
      <c r="AF106" s="254"/>
      <c r="AG106" s="254">
        <f t="shared" si="11"/>
        <v>0</v>
      </c>
      <c r="AH106" s="240">
        <f t="shared" si="7"/>
        <v>0</v>
      </c>
    </row>
    <row r="107" spans="1:34" s="234" customFormat="1" ht="18" customHeight="1">
      <c r="A107" s="238" t="s">
        <v>238</v>
      </c>
      <c r="B107" s="246" t="s">
        <v>146</v>
      </c>
      <c r="C107" s="553" t="s">
        <v>59</v>
      </c>
      <c r="D107" s="554">
        <v>55.35</v>
      </c>
      <c r="E107" s="554">
        <v>243.32</v>
      </c>
      <c r="F107" s="605">
        <f t="shared" si="8"/>
        <v>13467.76</v>
      </c>
      <c r="G107" s="606"/>
      <c r="H107" s="385">
        <f t="shared" si="9"/>
        <v>13467.76</v>
      </c>
      <c r="I107" s="607"/>
      <c r="J107" s="555"/>
      <c r="K107" s="555"/>
      <c r="L107" s="555"/>
      <c r="M107" s="555"/>
      <c r="N107" s="555"/>
      <c r="O107" s="555"/>
      <c r="P107" s="555"/>
      <c r="Q107" s="555"/>
      <c r="R107" s="555"/>
      <c r="S107" s="555"/>
      <c r="T107" s="555"/>
      <c r="U107" s="555"/>
      <c r="V107" s="555"/>
      <c r="W107" s="555"/>
      <c r="X107" s="555"/>
      <c r="Y107" s="555"/>
      <c r="Z107" s="555">
        <v>1122.31</v>
      </c>
      <c r="AA107" s="555">
        <v>12345.45</v>
      </c>
      <c r="AB107" s="555"/>
      <c r="AC107" s="555"/>
      <c r="AD107" s="556"/>
      <c r="AE107" s="357">
        <f>SUM(I107:AD107)</f>
        <v>13467.76</v>
      </c>
      <c r="AF107" s="254"/>
      <c r="AG107" s="254">
        <f t="shared" si="11"/>
        <v>13467.76</v>
      </c>
      <c r="AH107" s="240">
        <f t="shared" si="7"/>
        <v>0</v>
      </c>
    </row>
    <row r="108" spans="1:34" s="234" customFormat="1" ht="18" customHeight="1">
      <c r="A108" s="238" t="s">
        <v>239</v>
      </c>
      <c r="B108" s="246" t="s">
        <v>240</v>
      </c>
      <c r="C108" s="553" t="s">
        <v>59</v>
      </c>
      <c r="D108" s="554">
        <v>1038.8499999999999</v>
      </c>
      <c r="E108" s="554">
        <v>432.91</v>
      </c>
      <c r="F108" s="605">
        <f t="shared" si="8"/>
        <v>449728.55</v>
      </c>
      <c r="G108" s="606"/>
      <c r="H108" s="385">
        <f t="shared" si="9"/>
        <v>449728.55</v>
      </c>
      <c r="I108" s="608"/>
      <c r="J108" s="555"/>
      <c r="K108" s="555"/>
      <c r="L108" s="555"/>
      <c r="M108" s="555"/>
      <c r="N108" s="555"/>
      <c r="O108" s="555"/>
      <c r="P108" s="555"/>
      <c r="Q108" s="555"/>
      <c r="R108" s="555"/>
      <c r="S108" s="555"/>
      <c r="T108" s="555"/>
      <c r="U108" s="555"/>
      <c r="V108" s="555"/>
      <c r="W108" s="555"/>
      <c r="X108" s="555"/>
      <c r="Y108" s="555"/>
      <c r="Z108" s="555"/>
      <c r="AA108" s="555">
        <f>+F108*0.8</f>
        <v>359782.84</v>
      </c>
      <c r="AB108" s="555">
        <f>+F108*0.2</f>
        <v>89945.71</v>
      </c>
      <c r="AC108" s="555"/>
      <c r="AD108" s="561"/>
      <c r="AE108" s="357">
        <f>SUM(I108:AD108)</f>
        <v>449728.55000000005</v>
      </c>
      <c r="AF108" s="254"/>
      <c r="AG108" s="254">
        <f t="shared" si="11"/>
        <v>449728.55000000005</v>
      </c>
      <c r="AH108" s="240">
        <f t="shared" si="7"/>
        <v>0</v>
      </c>
    </row>
    <row r="109" spans="1:34" s="234" customFormat="1" ht="18" customHeight="1">
      <c r="A109" s="238" t="s">
        <v>241</v>
      </c>
      <c r="B109" s="246" t="s">
        <v>242</v>
      </c>
      <c r="C109" s="553" t="s">
        <v>59</v>
      </c>
      <c r="D109" s="554">
        <v>435.11</v>
      </c>
      <c r="E109" s="554">
        <v>190.63</v>
      </c>
      <c r="F109" s="605">
        <f t="shared" si="8"/>
        <v>82945.02</v>
      </c>
      <c r="G109" s="606"/>
      <c r="H109" s="385">
        <f t="shared" si="9"/>
        <v>82945.02</v>
      </c>
      <c r="I109" s="608"/>
      <c r="J109" s="555"/>
      <c r="K109" s="555"/>
      <c r="L109" s="555"/>
      <c r="M109" s="555"/>
      <c r="N109" s="555"/>
      <c r="O109" s="555"/>
      <c r="P109" s="555"/>
      <c r="Q109" s="555"/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  <c r="AB109" s="555">
        <v>82945.02</v>
      </c>
      <c r="AC109" s="555"/>
      <c r="AD109" s="563"/>
      <c r="AE109" s="357">
        <f>SUM(I109:AD109)</f>
        <v>82945.02</v>
      </c>
      <c r="AF109" s="254"/>
      <c r="AG109" s="254">
        <f t="shared" si="11"/>
        <v>82945.02</v>
      </c>
      <c r="AH109" s="240">
        <f t="shared" si="7"/>
        <v>0</v>
      </c>
    </row>
    <row r="110" spans="1:34" s="234" customFormat="1" ht="18" customHeight="1">
      <c r="A110" s="244" t="s">
        <v>243</v>
      </c>
      <c r="B110" s="245" t="s">
        <v>118</v>
      </c>
      <c r="C110" s="557"/>
      <c r="D110" s="558"/>
      <c r="E110" s="558"/>
      <c r="F110" s="605"/>
      <c r="G110" s="606"/>
      <c r="H110" s="385">
        <f t="shared" si="9"/>
        <v>0</v>
      </c>
      <c r="I110" s="608"/>
      <c r="J110" s="555"/>
      <c r="K110" s="555"/>
      <c r="L110" s="555"/>
      <c r="M110" s="555"/>
      <c r="N110" s="555"/>
      <c r="O110" s="555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63"/>
      <c r="AE110" s="357"/>
      <c r="AF110" s="254"/>
      <c r="AG110" s="254">
        <f t="shared" si="11"/>
        <v>0</v>
      </c>
      <c r="AH110" s="240">
        <f t="shared" si="7"/>
        <v>0</v>
      </c>
    </row>
    <row r="111" spans="1:34" s="234" customFormat="1" ht="18" customHeight="1">
      <c r="A111" s="238" t="s">
        <v>244</v>
      </c>
      <c r="B111" s="246" t="s">
        <v>245</v>
      </c>
      <c r="C111" s="553" t="s">
        <v>58</v>
      </c>
      <c r="D111" s="554">
        <v>371.27</v>
      </c>
      <c r="E111" s="554">
        <v>56.77</v>
      </c>
      <c r="F111" s="605">
        <f t="shared" si="8"/>
        <v>21077</v>
      </c>
      <c r="G111" s="606"/>
      <c r="H111" s="385">
        <f t="shared" si="9"/>
        <v>21077</v>
      </c>
      <c r="I111" s="608"/>
      <c r="J111" s="555"/>
      <c r="K111" s="555"/>
      <c r="L111" s="555"/>
      <c r="M111" s="555"/>
      <c r="N111" s="555"/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>
        <f>+F111*0.7</f>
        <v>14753.9</v>
      </c>
      <c r="AA111" s="555">
        <f>+F111*0.3</f>
        <v>6323.0999999999995</v>
      </c>
      <c r="AB111" s="555"/>
      <c r="AC111" s="555"/>
      <c r="AD111" s="563"/>
      <c r="AE111" s="357">
        <f>SUM(I111:AD111)</f>
        <v>21077</v>
      </c>
      <c r="AF111" s="254"/>
      <c r="AG111" s="254">
        <f t="shared" si="11"/>
        <v>21077</v>
      </c>
      <c r="AH111" s="240">
        <f t="shared" si="7"/>
        <v>0</v>
      </c>
    </row>
    <row r="112" spans="1:34" s="234" customFormat="1" ht="18" customHeight="1">
      <c r="A112" s="238" t="s">
        <v>246</v>
      </c>
      <c r="B112" s="247" t="s">
        <v>247</v>
      </c>
      <c r="C112" s="553" t="s">
        <v>58</v>
      </c>
      <c r="D112" s="554">
        <v>1869.67</v>
      </c>
      <c r="E112" s="554">
        <v>131.72999999999999</v>
      </c>
      <c r="F112" s="605">
        <f t="shared" si="8"/>
        <v>246291.63</v>
      </c>
      <c r="G112" s="606"/>
      <c r="H112" s="385">
        <f t="shared" si="9"/>
        <v>246291.63</v>
      </c>
      <c r="I112" s="608"/>
      <c r="J112" s="555"/>
      <c r="K112" s="555"/>
      <c r="L112" s="555"/>
      <c r="M112" s="555"/>
      <c r="N112" s="555"/>
      <c r="O112" s="555"/>
      <c r="P112" s="555"/>
      <c r="Q112" s="555"/>
      <c r="R112" s="555"/>
      <c r="S112" s="555"/>
      <c r="T112" s="555"/>
      <c r="U112" s="555"/>
      <c r="V112" s="555"/>
      <c r="W112" s="555"/>
      <c r="X112" s="555"/>
      <c r="Y112" s="555"/>
      <c r="Z112" s="555">
        <f>+F112*0.8</f>
        <v>197033.304</v>
      </c>
      <c r="AA112" s="555">
        <f>+F112*0.2</f>
        <v>49258.326000000001</v>
      </c>
      <c r="AB112" s="555"/>
      <c r="AC112" s="555"/>
      <c r="AD112" s="563"/>
      <c r="AE112" s="357">
        <f>SUM(I112:AD112)</f>
        <v>246291.63</v>
      </c>
      <c r="AF112" s="254"/>
      <c r="AG112" s="254">
        <f t="shared" si="11"/>
        <v>246291.63</v>
      </c>
      <c r="AH112" s="240">
        <f t="shared" si="7"/>
        <v>0</v>
      </c>
    </row>
    <row r="113" spans="1:34" s="234" customFormat="1" ht="18" customHeight="1">
      <c r="A113" s="244" t="s">
        <v>248</v>
      </c>
      <c r="B113" s="245" t="s">
        <v>249</v>
      </c>
      <c r="C113" s="557"/>
      <c r="D113" s="558"/>
      <c r="E113" s="558"/>
      <c r="F113" s="605"/>
      <c r="G113" s="606"/>
      <c r="H113" s="385">
        <f t="shared" si="9"/>
        <v>0</v>
      </c>
      <c r="I113" s="608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5"/>
      <c r="X113" s="555"/>
      <c r="Y113" s="555"/>
      <c r="Z113" s="555"/>
      <c r="AA113" s="555"/>
      <c r="AB113" s="555"/>
      <c r="AC113" s="555"/>
      <c r="AD113" s="563"/>
      <c r="AE113" s="357"/>
      <c r="AF113" s="254"/>
      <c r="AG113" s="254">
        <f t="shared" si="11"/>
        <v>0</v>
      </c>
      <c r="AH113" s="240">
        <f t="shared" si="7"/>
        <v>0</v>
      </c>
    </row>
    <row r="114" spans="1:34" s="234" customFormat="1" ht="18" customHeight="1">
      <c r="A114" s="238" t="s">
        <v>250</v>
      </c>
      <c r="B114" s="246" t="s">
        <v>251</v>
      </c>
      <c r="C114" s="553" t="s">
        <v>161</v>
      </c>
      <c r="D114" s="554">
        <v>118266.63</v>
      </c>
      <c r="E114" s="554">
        <v>3.89</v>
      </c>
      <c r="F114" s="605">
        <f t="shared" si="8"/>
        <v>460057.19</v>
      </c>
      <c r="G114" s="606"/>
      <c r="H114" s="385">
        <f t="shared" si="9"/>
        <v>460057.19</v>
      </c>
      <c r="I114" s="608"/>
      <c r="J114" s="555"/>
      <c r="K114" s="555"/>
      <c r="L114" s="555"/>
      <c r="M114" s="555"/>
      <c r="N114" s="555"/>
      <c r="O114" s="555"/>
      <c r="P114" s="555"/>
      <c r="Q114" s="555"/>
      <c r="R114" s="555"/>
      <c r="S114" s="555"/>
      <c r="T114" s="555"/>
      <c r="U114" s="555"/>
      <c r="V114" s="555"/>
      <c r="W114" s="555"/>
      <c r="X114" s="555"/>
      <c r="Y114" s="555"/>
      <c r="Z114" s="555"/>
      <c r="AA114" s="555">
        <f>+F114*0.4</f>
        <v>184022.87600000002</v>
      </c>
      <c r="AB114" s="555">
        <f>+F114*0.6</f>
        <v>276034.31400000001</v>
      </c>
      <c r="AC114" s="555"/>
      <c r="AD114" s="563"/>
      <c r="AE114" s="357">
        <f>SUM(I114:AD114)</f>
        <v>460057.19000000006</v>
      </c>
      <c r="AF114" s="254"/>
      <c r="AG114" s="254">
        <f t="shared" si="11"/>
        <v>460057.19000000006</v>
      </c>
      <c r="AH114" s="240">
        <f t="shared" si="7"/>
        <v>0</v>
      </c>
    </row>
    <row r="115" spans="1:34" s="234" customFormat="1" ht="18" customHeight="1">
      <c r="A115" s="244" t="s">
        <v>252</v>
      </c>
      <c r="B115" s="245" t="s">
        <v>253</v>
      </c>
      <c r="C115" s="557"/>
      <c r="D115" s="558"/>
      <c r="E115" s="558"/>
      <c r="F115" s="605"/>
      <c r="G115" s="606"/>
      <c r="H115" s="385">
        <f t="shared" si="9"/>
        <v>0</v>
      </c>
      <c r="I115" s="608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5"/>
      <c r="AA115" s="555"/>
      <c r="AB115" s="555"/>
      <c r="AC115" s="555"/>
      <c r="AD115" s="563"/>
      <c r="AE115" s="357"/>
      <c r="AF115" s="254"/>
      <c r="AG115" s="254">
        <f t="shared" si="11"/>
        <v>0</v>
      </c>
      <c r="AH115" s="240">
        <f t="shared" si="7"/>
        <v>0</v>
      </c>
    </row>
    <row r="116" spans="1:34" s="234" customFormat="1" ht="18" customHeight="1">
      <c r="A116" s="238" t="s">
        <v>254</v>
      </c>
      <c r="B116" s="246" t="s">
        <v>255</v>
      </c>
      <c r="C116" s="553" t="s">
        <v>125</v>
      </c>
      <c r="D116" s="554">
        <v>135</v>
      </c>
      <c r="E116" s="554">
        <v>433.2</v>
      </c>
      <c r="F116" s="605">
        <f t="shared" si="8"/>
        <v>58482</v>
      </c>
      <c r="G116" s="606"/>
      <c r="H116" s="385">
        <f t="shared" si="9"/>
        <v>58482</v>
      </c>
      <c r="I116" s="608"/>
      <c r="J116" s="555"/>
      <c r="K116" s="555"/>
      <c r="L116" s="555"/>
      <c r="M116" s="555"/>
      <c r="N116" s="555"/>
      <c r="O116" s="555"/>
      <c r="P116" s="555"/>
      <c r="Q116" s="555"/>
      <c r="R116" s="555"/>
      <c r="S116" s="555"/>
      <c r="T116" s="555"/>
      <c r="U116" s="555"/>
      <c r="V116" s="555"/>
      <c r="W116" s="555"/>
      <c r="X116" s="555"/>
      <c r="Y116" s="555"/>
      <c r="Z116" s="555"/>
      <c r="AA116" s="555"/>
      <c r="AB116" s="555"/>
      <c r="AC116" s="555">
        <f>+F116*0.8</f>
        <v>46785.600000000006</v>
      </c>
      <c r="AD116" s="563">
        <f>+F116*0.2</f>
        <v>11696.400000000001</v>
      </c>
      <c r="AE116" s="357">
        <f>SUM(I116:AD116)</f>
        <v>58482.000000000007</v>
      </c>
      <c r="AF116" s="254"/>
      <c r="AG116" s="254">
        <f>SUM(I116:AD116)</f>
        <v>58482.000000000007</v>
      </c>
      <c r="AH116" s="240">
        <f t="shared" si="7"/>
        <v>0</v>
      </c>
    </row>
    <row r="117" spans="1:34" s="234" customFormat="1" ht="18" customHeight="1">
      <c r="A117" s="238" t="s">
        <v>256</v>
      </c>
      <c r="B117" s="246" t="s">
        <v>257</v>
      </c>
      <c r="C117" s="553" t="s">
        <v>125</v>
      </c>
      <c r="D117" s="554">
        <v>121.29</v>
      </c>
      <c r="E117" s="554">
        <v>391.17</v>
      </c>
      <c r="F117" s="605">
        <f t="shared" si="8"/>
        <v>47445.01</v>
      </c>
      <c r="G117" s="606"/>
      <c r="H117" s="385">
        <f t="shared" si="9"/>
        <v>47445.01</v>
      </c>
      <c r="I117" s="608"/>
      <c r="J117" s="555"/>
      <c r="K117" s="555"/>
      <c r="L117" s="555"/>
      <c r="M117" s="555"/>
      <c r="N117" s="555"/>
      <c r="O117" s="555"/>
      <c r="P117" s="555"/>
      <c r="Q117" s="555"/>
      <c r="R117" s="555"/>
      <c r="S117" s="555"/>
      <c r="T117" s="555"/>
      <c r="U117" s="555"/>
      <c r="V117" s="555"/>
      <c r="W117" s="555"/>
      <c r="X117" s="555"/>
      <c r="Y117" s="555"/>
      <c r="Z117" s="555"/>
      <c r="AA117" s="555"/>
      <c r="AB117" s="555"/>
      <c r="AC117" s="555">
        <f>+F117*0.8</f>
        <v>37956.008000000002</v>
      </c>
      <c r="AD117" s="563">
        <f>+F117*0.2</f>
        <v>9489.0020000000004</v>
      </c>
      <c r="AE117" s="357">
        <f>SUM(I117:AD117)</f>
        <v>47445.01</v>
      </c>
      <c r="AF117" s="254"/>
      <c r="AG117" s="254">
        <f>SUM(I117:AD117)</f>
        <v>47445.01</v>
      </c>
      <c r="AH117" s="240">
        <f t="shared" si="7"/>
        <v>0</v>
      </c>
    </row>
    <row r="118" spans="1:34" s="234" customFormat="1" ht="18" customHeight="1">
      <c r="A118" s="238" t="s">
        <v>258</v>
      </c>
      <c r="B118" s="246" t="s">
        <v>259</v>
      </c>
      <c r="C118" s="553" t="s">
        <v>125</v>
      </c>
      <c r="D118" s="554">
        <v>123.17</v>
      </c>
      <c r="E118" s="554">
        <v>329.48</v>
      </c>
      <c r="F118" s="605">
        <f t="shared" si="8"/>
        <v>40582.050000000003</v>
      </c>
      <c r="G118" s="606"/>
      <c r="H118" s="385">
        <f t="shared" si="9"/>
        <v>40582.050000000003</v>
      </c>
      <c r="I118" s="608"/>
      <c r="J118" s="555"/>
      <c r="K118" s="555"/>
      <c r="L118" s="555"/>
      <c r="M118" s="555"/>
      <c r="N118" s="555"/>
      <c r="O118" s="555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5"/>
      <c r="AA118" s="555"/>
      <c r="AB118" s="555"/>
      <c r="AC118" s="555">
        <f>+F118*0.8</f>
        <v>32465.640000000003</v>
      </c>
      <c r="AD118" s="563">
        <f>+F118*0.2</f>
        <v>8116.4100000000008</v>
      </c>
      <c r="AE118" s="357">
        <f>SUM(I118:AD118)</f>
        <v>40582.050000000003</v>
      </c>
      <c r="AF118" s="254"/>
      <c r="AG118" s="254">
        <f>SUM(I118:AD118)</f>
        <v>40582.050000000003</v>
      </c>
      <c r="AH118" s="240">
        <f t="shared" si="7"/>
        <v>0</v>
      </c>
    </row>
    <row r="119" spans="1:34" s="234" customFormat="1" ht="18" customHeight="1">
      <c r="A119" s="238" t="s">
        <v>260</v>
      </c>
      <c r="B119" s="246" t="s">
        <v>261</v>
      </c>
      <c r="C119" s="553" t="s">
        <v>125</v>
      </c>
      <c r="D119" s="554">
        <v>48</v>
      </c>
      <c r="E119" s="554">
        <v>38.479999999999997</v>
      </c>
      <c r="F119" s="605">
        <f t="shared" si="8"/>
        <v>1847.04</v>
      </c>
      <c r="G119" s="606"/>
      <c r="H119" s="385">
        <f t="shared" si="9"/>
        <v>1847.04</v>
      </c>
      <c r="I119" s="575"/>
      <c r="J119" s="555"/>
      <c r="K119" s="555"/>
      <c r="L119" s="555"/>
      <c r="M119" s="555"/>
      <c r="N119" s="555"/>
      <c r="O119" s="555"/>
      <c r="P119" s="555"/>
      <c r="Q119" s="555"/>
      <c r="R119" s="555"/>
      <c r="S119" s="555"/>
      <c r="T119" s="555"/>
      <c r="U119" s="555"/>
      <c r="V119" s="555"/>
      <c r="W119" s="555"/>
      <c r="X119" s="555"/>
      <c r="Y119" s="555"/>
      <c r="Z119" s="555"/>
      <c r="AA119" s="555"/>
      <c r="AB119" s="555"/>
      <c r="AC119" s="555">
        <f>+F119*0.8</f>
        <v>1477.6320000000001</v>
      </c>
      <c r="AD119" s="563">
        <f>+F119*0.2</f>
        <v>369.40800000000002</v>
      </c>
      <c r="AE119" s="357">
        <f>SUM(I119:AD119)</f>
        <v>1847.04</v>
      </c>
      <c r="AF119" s="254"/>
      <c r="AG119" s="254">
        <f>SUM(I119:AD119)</f>
        <v>1847.04</v>
      </c>
      <c r="AH119" s="240">
        <f t="shared" si="7"/>
        <v>0</v>
      </c>
    </row>
    <row r="120" spans="1:34" s="234" customFormat="1" ht="18" customHeight="1">
      <c r="A120" s="235" t="s">
        <v>262</v>
      </c>
      <c r="B120" s="241" t="s">
        <v>263</v>
      </c>
      <c r="C120" s="557"/>
      <c r="D120" s="558"/>
      <c r="E120" s="558"/>
      <c r="F120" s="605"/>
      <c r="G120" s="606"/>
      <c r="H120" s="385">
        <f t="shared" si="9"/>
        <v>0</v>
      </c>
      <c r="I120" s="575"/>
      <c r="J120" s="555"/>
      <c r="K120" s="555"/>
      <c r="L120" s="555"/>
      <c r="M120" s="555"/>
      <c r="N120" s="555"/>
      <c r="O120" s="555"/>
      <c r="P120" s="555"/>
      <c r="Q120" s="555"/>
      <c r="R120" s="555"/>
      <c r="S120" s="555"/>
      <c r="T120" s="555"/>
      <c r="U120" s="555"/>
      <c r="V120" s="555"/>
      <c r="W120" s="555"/>
      <c r="X120" s="555"/>
      <c r="Y120" s="555"/>
      <c r="Z120" s="555"/>
      <c r="AA120" s="555"/>
      <c r="AB120" s="555"/>
      <c r="AC120" s="555"/>
      <c r="AD120" s="563"/>
      <c r="AE120" s="357"/>
      <c r="AF120" s="254"/>
      <c r="AG120" s="254">
        <f t="shared" si="11"/>
        <v>0</v>
      </c>
      <c r="AH120" s="240">
        <f t="shared" si="7"/>
        <v>0</v>
      </c>
    </row>
    <row r="121" spans="1:34" s="234" customFormat="1" ht="18" customHeight="1">
      <c r="A121" s="244" t="s">
        <v>264</v>
      </c>
      <c r="B121" s="245" t="s">
        <v>85</v>
      </c>
      <c r="C121" s="557"/>
      <c r="D121" s="558"/>
      <c r="E121" s="558"/>
      <c r="F121" s="605"/>
      <c r="G121" s="606"/>
      <c r="H121" s="385">
        <f t="shared" si="9"/>
        <v>0</v>
      </c>
      <c r="I121" s="575"/>
      <c r="J121" s="555"/>
      <c r="K121" s="555"/>
      <c r="L121" s="555"/>
      <c r="M121" s="555"/>
      <c r="N121" s="555"/>
      <c r="O121" s="555"/>
      <c r="P121" s="555"/>
      <c r="Q121" s="555"/>
      <c r="R121" s="555"/>
      <c r="S121" s="555"/>
      <c r="T121" s="555"/>
      <c r="U121" s="555"/>
      <c r="V121" s="555"/>
      <c r="W121" s="555"/>
      <c r="X121" s="555"/>
      <c r="Y121" s="555"/>
      <c r="Z121" s="555"/>
      <c r="AA121" s="555"/>
      <c r="AB121" s="555"/>
      <c r="AC121" s="555"/>
      <c r="AD121" s="563"/>
      <c r="AE121" s="357"/>
      <c r="AF121" s="254"/>
      <c r="AG121" s="254">
        <f t="shared" si="11"/>
        <v>0</v>
      </c>
      <c r="AH121" s="240">
        <f t="shared" si="7"/>
        <v>0</v>
      </c>
    </row>
    <row r="122" spans="1:34" s="234" customFormat="1" ht="18" customHeight="1">
      <c r="A122" s="238" t="s">
        <v>53</v>
      </c>
      <c r="B122" s="246" t="s">
        <v>87</v>
      </c>
      <c r="C122" s="553" t="s">
        <v>59</v>
      </c>
      <c r="D122" s="554">
        <v>451.63</v>
      </c>
      <c r="E122" s="554">
        <v>2.4700000000000002</v>
      </c>
      <c r="F122" s="605">
        <f t="shared" si="8"/>
        <v>1115.53</v>
      </c>
      <c r="G122" s="606"/>
      <c r="H122" s="385">
        <f t="shared" si="9"/>
        <v>1115.53</v>
      </c>
      <c r="I122" s="575"/>
      <c r="J122" s="555"/>
      <c r="K122" s="555"/>
      <c r="L122" s="555"/>
      <c r="M122" s="555"/>
      <c r="N122" s="555"/>
      <c r="O122" s="555"/>
      <c r="P122" s="555"/>
      <c r="Q122" s="555">
        <v>752.98</v>
      </c>
      <c r="R122" s="555">
        <v>362.55</v>
      </c>
      <c r="S122" s="555"/>
      <c r="T122" s="555"/>
      <c r="U122" s="555"/>
      <c r="V122" s="555"/>
      <c r="W122" s="555"/>
      <c r="X122" s="555"/>
      <c r="Y122" s="555"/>
      <c r="Z122" s="555"/>
      <c r="AA122" s="555"/>
      <c r="AB122" s="555"/>
      <c r="AC122" s="555"/>
      <c r="AD122" s="563"/>
      <c r="AE122" s="357">
        <f>SUM(I122:AD122)</f>
        <v>1115.53</v>
      </c>
      <c r="AF122" s="254"/>
      <c r="AG122" s="254">
        <f t="shared" si="11"/>
        <v>1115.53</v>
      </c>
      <c r="AH122" s="240">
        <f t="shared" si="7"/>
        <v>0</v>
      </c>
    </row>
    <row r="123" spans="1:34" s="234" customFormat="1" ht="18" customHeight="1">
      <c r="A123" s="238" t="s">
        <v>54</v>
      </c>
      <c r="B123" s="246" t="s">
        <v>89</v>
      </c>
      <c r="C123" s="553" t="s">
        <v>59</v>
      </c>
      <c r="D123" s="554">
        <v>5069.53</v>
      </c>
      <c r="E123" s="554">
        <v>17.36</v>
      </c>
      <c r="F123" s="605">
        <f t="shared" si="8"/>
        <v>88007.039999999994</v>
      </c>
      <c r="G123" s="606"/>
      <c r="H123" s="385">
        <f t="shared" si="9"/>
        <v>88007.039999999994</v>
      </c>
      <c r="I123" s="575"/>
      <c r="J123" s="555"/>
      <c r="K123" s="555"/>
      <c r="L123" s="555"/>
      <c r="M123" s="555"/>
      <c r="N123" s="555"/>
      <c r="O123" s="555"/>
      <c r="P123" s="555"/>
      <c r="Q123" s="555"/>
      <c r="R123" s="555">
        <v>88007.039999999994</v>
      </c>
      <c r="S123" s="555"/>
      <c r="T123" s="555"/>
      <c r="U123" s="555"/>
      <c r="V123" s="555"/>
      <c r="W123" s="555"/>
      <c r="X123" s="555"/>
      <c r="Y123" s="555"/>
      <c r="Z123" s="555"/>
      <c r="AA123" s="555"/>
      <c r="AB123" s="555"/>
      <c r="AC123" s="555"/>
      <c r="AD123" s="561"/>
      <c r="AE123" s="357">
        <f>SUM(I123:AD123)</f>
        <v>88007.039999999994</v>
      </c>
      <c r="AF123" s="254"/>
      <c r="AG123" s="254">
        <f t="shared" si="11"/>
        <v>88007.039999999994</v>
      </c>
      <c r="AH123" s="240">
        <f t="shared" si="7"/>
        <v>0</v>
      </c>
    </row>
    <row r="124" spans="1:34" s="234" customFormat="1" ht="18" customHeight="1">
      <c r="A124" s="238" t="s">
        <v>55</v>
      </c>
      <c r="B124" s="246" t="s">
        <v>91</v>
      </c>
      <c r="C124" s="553" t="s">
        <v>59</v>
      </c>
      <c r="D124" s="554">
        <v>7319.8</v>
      </c>
      <c r="E124" s="554">
        <v>29.14</v>
      </c>
      <c r="F124" s="605">
        <f t="shared" si="8"/>
        <v>213298.97</v>
      </c>
      <c r="G124" s="606"/>
      <c r="H124" s="385">
        <f t="shared" si="9"/>
        <v>213298.97</v>
      </c>
      <c r="I124" s="575"/>
      <c r="J124" s="555"/>
      <c r="K124" s="555"/>
      <c r="L124" s="555"/>
      <c r="M124" s="555"/>
      <c r="N124" s="555"/>
      <c r="O124" s="555"/>
      <c r="P124" s="555"/>
      <c r="Q124" s="555"/>
      <c r="R124" s="555">
        <f>+F124*0.8</f>
        <v>170639.17600000001</v>
      </c>
      <c r="S124" s="555">
        <f>+F124*0.2</f>
        <v>42659.794000000002</v>
      </c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63"/>
      <c r="AE124" s="357">
        <f>SUM(I124:AD124)</f>
        <v>213298.97</v>
      </c>
      <c r="AF124" s="254"/>
      <c r="AG124" s="254">
        <f t="shared" si="11"/>
        <v>213298.97</v>
      </c>
      <c r="AH124" s="240">
        <f t="shared" si="7"/>
        <v>0</v>
      </c>
    </row>
    <row r="125" spans="1:34" s="234" customFormat="1" ht="18" customHeight="1">
      <c r="A125" s="238" t="s">
        <v>265</v>
      </c>
      <c r="B125" s="246" t="s">
        <v>106</v>
      </c>
      <c r="C125" s="553" t="s">
        <v>59</v>
      </c>
      <c r="D125" s="554">
        <v>776.37</v>
      </c>
      <c r="E125" s="554">
        <v>76.91</v>
      </c>
      <c r="F125" s="605">
        <f t="shared" si="8"/>
        <v>59710.62</v>
      </c>
      <c r="G125" s="606"/>
      <c r="H125" s="385">
        <f t="shared" si="9"/>
        <v>59710.62</v>
      </c>
      <c r="I125" s="575"/>
      <c r="J125" s="555"/>
      <c r="K125" s="555"/>
      <c r="L125" s="555"/>
      <c r="M125" s="555"/>
      <c r="N125" s="555"/>
      <c r="O125" s="555"/>
      <c r="P125" s="555"/>
      <c r="Q125" s="555"/>
      <c r="R125" s="555"/>
      <c r="S125" s="555">
        <v>59710.62</v>
      </c>
      <c r="T125" s="555"/>
      <c r="U125" s="555"/>
      <c r="V125" s="555"/>
      <c r="W125" s="555"/>
      <c r="X125" s="555"/>
      <c r="Y125" s="555"/>
      <c r="Z125" s="555"/>
      <c r="AA125" s="555"/>
      <c r="AB125" s="555"/>
      <c r="AC125" s="555"/>
      <c r="AD125" s="563"/>
      <c r="AE125" s="357">
        <f>SUM(I125:AD125)</f>
        <v>59710.62</v>
      </c>
      <c r="AF125" s="254"/>
      <c r="AG125" s="254">
        <f t="shared" si="11"/>
        <v>59710.62</v>
      </c>
      <c r="AH125" s="240">
        <f t="shared" si="7"/>
        <v>0</v>
      </c>
    </row>
    <row r="126" spans="1:34" s="234" customFormat="1" ht="18" customHeight="1">
      <c r="A126" s="238" t="s">
        <v>266</v>
      </c>
      <c r="B126" s="246" t="s">
        <v>267</v>
      </c>
      <c r="C126" s="553" t="s">
        <v>59</v>
      </c>
      <c r="D126" s="554">
        <v>12840.96</v>
      </c>
      <c r="E126" s="554">
        <v>9.48</v>
      </c>
      <c r="F126" s="605">
        <f t="shared" si="8"/>
        <v>121732.3</v>
      </c>
      <c r="G126" s="606"/>
      <c r="H126" s="385">
        <f t="shared" si="9"/>
        <v>121732.3</v>
      </c>
      <c r="I126" s="575"/>
      <c r="J126" s="555"/>
      <c r="K126" s="555"/>
      <c r="L126" s="555"/>
      <c r="M126" s="555"/>
      <c r="N126" s="555"/>
      <c r="O126" s="555"/>
      <c r="P126" s="555"/>
      <c r="Q126" s="555"/>
      <c r="R126" s="555"/>
      <c r="S126" s="555">
        <v>121732.3</v>
      </c>
      <c r="T126" s="555"/>
      <c r="U126" s="555"/>
      <c r="V126" s="555"/>
      <c r="W126" s="555"/>
      <c r="X126" s="555"/>
      <c r="Y126" s="555"/>
      <c r="Z126" s="555"/>
      <c r="AA126" s="555"/>
      <c r="AB126" s="555"/>
      <c r="AC126" s="555"/>
      <c r="AD126" s="563"/>
      <c r="AE126" s="357">
        <f>SUM(I126:AD126)</f>
        <v>121732.3</v>
      </c>
      <c r="AF126" s="254"/>
      <c r="AG126" s="254">
        <f t="shared" si="11"/>
        <v>121732.3</v>
      </c>
      <c r="AH126" s="240">
        <f t="shared" si="7"/>
        <v>0</v>
      </c>
    </row>
    <row r="127" spans="1:34" s="234" customFormat="1" ht="18" customHeight="1">
      <c r="A127" s="244" t="s">
        <v>268</v>
      </c>
      <c r="B127" s="245" t="s">
        <v>112</v>
      </c>
      <c r="C127" s="557"/>
      <c r="D127" s="558"/>
      <c r="E127" s="558"/>
      <c r="F127" s="605"/>
      <c r="G127" s="606"/>
      <c r="H127" s="385">
        <f t="shared" si="9"/>
        <v>0</v>
      </c>
      <c r="I127" s="575"/>
      <c r="J127" s="555"/>
      <c r="K127" s="555"/>
      <c r="L127" s="555"/>
      <c r="M127" s="555"/>
      <c r="N127" s="555"/>
      <c r="O127" s="555"/>
      <c r="P127" s="555"/>
      <c r="Q127" s="555"/>
      <c r="R127" s="555"/>
      <c r="S127" s="555"/>
      <c r="T127" s="555"/>
      <c r="U127" s="555"/>
      <c r="V127" s="555"/>
      <c r="W127" s="555"/>
      <c r="X127" s="555"/>
      <c r="Y127" s="555"/>
      <c r="Z127" s="555"/>
      <c r="AA127" s="555"/>
      <c r="AB127" s="555"/>
      <c r="AC127" s="555"/>
      <c r="AD127" s="563"/>
      <c r="AE127" s="357"/>
      <c r="AF127" s="254"/>
      <c r="AG127" s="254">
        <f t="shared" si="11"/>
        <v>0</v>
      </c>
      <c r="AH127" s="240">
        <f t="shared" si="7"/>
        <v>0</v>
      </c>
    </row>
    <row r="128" spans="1:34" s="234" customFormat="1" ht="18" customHeight="1">
      <c r="A128" s="238" t="s">
        <v>269</v>
      </c>
      <c r="B128" s="246" t="s">
        <v>146</v>
      </c>
      <c r="C128" s="553" t="s">
        <v>59</v>
      </c>
      <c r="D128" s="554">
        <v>304.22000000000003</v>
      </c>
      <c r="E128" s="554">
        <v>243.32</v>
      </c>
      <c r="F128" s="605">
        <f t="shared" si="8"/>
        <v>74022.81</v>
      </c>
      <c r="G128" s="606"/>
      <c r="H128" s="385">
        <f t="shared" si="9"/>
        <v>74022.81</v>
      </c>
      <c r="I128" s="575"/>
      <c r="J128" s="555"/>
      <c r="K128" s="555"/>
      <c r="L128" s="555"/>
      <c r="M128" s="555"/>
      <c r="N128" s="555"/>
      <c r="O128" s="555"/>
      <c r="P128" s="555"/>
      <c r="Q128" s="555"/>
      <c r="R128" s="555"/>
      <c r="S128" s="555"/>
      <c r="T128" s="555">
        <v>74022.81</v>
      </c>
      <c r="U128" s="555"/>
      <c r="V128" s="555"/>
      <c r="W128" s="555"/>
      <c r="X128" s="555"/>
      <c r="Y128" s="555"/>
      <c r="Z128" s="555"/>
      <c r="AA128" s="555"/>
      <c r="AB128" s="555"/>
      <c r="AC128" s="555"/>
      <c r="AD128" s="563"/>
      <c r="AE128" s="357">
        <f>SUM(I128:AD128)</f>
        <v>74022.81</v>
      </c>
      <c r="AF128" s="254"/>
      <c r="AG128" s="254">
        <f t="shared" si="11"/>
        <v>74022.81</v>
      </c>
      <c r="AH128" s="240">
        <f t="shared" si="7"/>
        <v>0</v>
      </c>
    </row>
    <row r="129" spans="1:34" s="234" customFormat="1" ht="18" customHeight="1">
      <c r="A129" s="238" t="s">
        <v>270</v>
      </c>
      <c r="B129" s="246" t="s">
        <v>114</v>
      </c>
      <c r="C129" s="553" t="s">
        <v>59</v>
      </c>
      <c r="D129" s="554">
        <v>1037.52</v>
      </c>
      <c r="E129" s="554">
        <v>371.76</v>
      </c>
      <c r="F129" s="605">
        <f t="shared" si="8"/>
        <v>385708.44</v>
      </c>
      <c r="G129" s="606"/>
      <c r="H129" s="385">
        <f t="shared" si="9"/>
        <v>385708.44</v>
      </c>
      <c r="I129" s="575"/>
      <c r="J129" s="555"/>
      <c r="K129" s="555"/>
      <c r="L129" s="555"/>
      <c r="M129" s="555"/>
      <c r="N129" s="555"/>
      <c r="O129" s="555"/>
      <c r="P129" s="555"/>
      <c r="Q129" s="555"/>
      <c r="R129" s="555"/>
      <c r="S129" s="555"/>
      <c r="T129" s="555">
        <v>173568.79800000001</v>
      </c>
      <c r="U129" s="555">
        <f>+H129*0.25</f>
        <v>96427.11</v>
      </c>
      <c r="V129" s="809">
        <f>+H129*0.25</f>
        <v>96427.11</v>
      </c>
      <c r="W129" s="555">
        <v>19285.422000000002</v>
      </c>
      <c r="X129" s="555"/>
      <c r="Y129" s="555"/>
      <c r="Z129" s="555"/>
      <c r="AA129" s="555"/>
      <c r="AB129" s="555"/>
      <c r="AC129" s="555"/>
      <c r="AD129" s="563"/>
      <c r="AE129" s="357">
        <f>SUM(I129:AD129)</f>
        <v>385708.44</v>
      </c>
      <c r="AF129" s="254"/>
      <c r="AG129" s="254">
        <f t="shared" si="11"/>
        <v>385708.44</v>
      </c>
      <c r="AH129" s="240">
        <f t="shared" si="7"/>
        <v>0</v>
      </c>
    </row>
    <row r="130" spans="1:34" s="234" customFormat="1" ht="18" customHeight="1">
      <c r="A130" s="238" t="s">
        <v>271</v>
      </c>
      <c r="B130" s="246" t="s">
        <v>151</v>
      </c>
      <c r="C130" s="553" t="s">
        <v>58</v>
      </c>
      <c r="D130" s="554">
        <v>57.93</v>
      </c>
      <c r="E130" s="554">
        <v>134.53</v>
      </c>
      <c r="F130" s="605">
        <f t="shared" si="8"/>
        <v>7793.32</v>
      </c>
      <c r="G130" s="606"/>
      <c r="H130" s="385">
        <f t="shared" si="9"/>
        <v>7793.32</v>
      </c>
      <c r="I130" s="575"/>
      <c r="J130" s="555"/>
      <c r="K130" s="555"/>
      <c r="L130" s="555"/>
      <c r="M130" s="555"/>
      <c r="N130" s="555"/>
      <c r="O130" s="555"/>
      <c r="P130" s="555"/>
      <c r="Q130" s="555"/>
      <c r="R130" s="555"/>
      <c r="S130" s="555"/>
      <c r="T130" s="555"/>
      <c r="U130" s="555">
        <v>5747.57</v>
      </c>
      <c r="V130" s="555"/>
      <c r="W130" s="555">
        <v>2045.75</v>
      </c>
      <c r="X130" s="555"/>
      <c r="Y130" s="555"/>
      <c r="Z130" s="555"/>
      <c r="AA130" s="555"/>
      <c r="AB130" s="555"/>
      <c r="AC130" s="555"/>
      <c r="AD130" s="563"/>
      <c r="AE130" s="357">
        <f>SUM(I130:AD130)</f>
        <v>7793.32</v>
      </c>
      <c r="AF130" s="254"/>
      <c r="AG130" s="254">
        <f t="shared" si="11"/>
        <v>7793.32</v>
      </c>
      <c r="AH130" s="240">
        <f t="shared" si="7"/>
        <v>0</v>
      </c>
    </row>
    <row r="131" spans="1:34" s="234" customFormat="1" ht="18" customHeight="1">
      <c r="A131" s="244" t="s">
        <v>272</v>
      </c>
      <c r="B131" s="245" t="s">
        <v>118</v>
      </c>
      <c r="C131" s="557"/>
      <c r="D131" s="558"/>
      <c r="E131" s="558"/>
      <c r="F131" s="605"/>
      <c r="G131" s="606"/>
      <c r="H131" s="385">
        <f t="shared" si="9"/>
        <v>0</v>
      </c>
      <c r="I131" s="575"/>
      <c r="J131" s="555"/>
      <c r="K131" s="555"/>
      <c r="L131" s="555"/>
      <c r="M131" s="555"/>
      <c r="N131" s="555"/>
      <c r="O131" s="555"/>
      <c r="P131" s="555"/>
      <c r="Q131" s="555"/>
      <c r="R131" s="555"/>
      <c r="S131" s="555"/>
      <c r="T131" s="555"/>
      <c r="U131" s="555"/>
      <c r="V131" s="555"/>
      <c r="W131" s="555"/>
      <c r="X131" s="555"/>
      <c r="Y131" s="555"/>
      <c r="Z131" s="555"/>
      <c r="AA131" s="555"/>
      <c r="AB131" s="555"/>
      <c r="AC131" s="555"/>
      <c r="AD131" s="563"/>
      <c r="AE131" s="357"/>
      <c r="AF131" s="254"/>
      <c r="AG131" s="254">
        <f t="shared" si="11"/>
        <v>0</v>
      </c>
      <c r="AH131" s="240">
        <f t="shared" si="7"/>
        <v>0</v>
      </c>
    </row>
    <row r="132" spans="1:34" s="234" customFormat="1" ht="18" customHeight="1">
      <c r="A132" s="238" t="s">
        <v>273</v>
      </c>
      <c r="B132" s="246" t="s">
        <v>245</v>
      </c>
      <c r="C132" s="553" t="s">
        <v>58</v>
      </c>
      <c r="D132" s="554">
        <v>2091.5</v>
      </c>
      <c r="E132" s="554">
        <v>56.77</v>
      </c>
      <c r="F132" s="605">
        <f t="shared" si="8"/>
        <v>118734.46</v>
      </c>
      <c r="G132" s="606"/>
      <c r="H132" s="385">
        <f t="shared" si="9"/>
        <v>118734.46</v>
      </c>
      <c r="I132" s="575"/>
      <c r="J132" s="555"/>
      <c r="K132" s="555"/>
      <c r="L132" s="555"/>
      <c r="M132" s="555"/>
      <c r="N132" s="555"/>
      <c r="O132" s="555"/>
      <c r="P132" s="555"/>
      <c r="Q132" s="555"/>
      <c r="R132" s="555"/>
      <c r="S132" s="555"/>
      <c r="T132" s="555">
        <v>63819.77</v>
      </c>
      <c r="U132" s="555">
        <v>27457.345000000001</v>
      </c>
      <c r="V132" s="555">
        <f>+U132</f>
        <v>27457.345000000001</v>
      </c>
      <c r="W132" s="555"/>
      <c r="X132" s="555"/>
      <c r="Y132" s="555"/>
      <c r="Z132" s="555"/>
      <c r="AA132" s="555"/>
      <c r="AB132" s="555"/>
      <c r="AC132" s="555"/>
      <c r="AD132" s="563"/>
      <c r="AE132" s="357">
        <f>SUM(I132:AD132)</f>
        <v>118734.45999999999</v>
      </c>
      <c r="AF132" s="254"/>
      <c r="AG132" s="254">
        <f t="shared" si="11"/>
        <v>118734.45999999999</v>
      </c>
      <c r="AH132" s="240">
        <f t="shared" si="7"/>
        <v>0</v>
      </c>
    </row>
    <row r="133" spans="1:34" s="234" customFormat="1" ht="18" customHeight="1">
      <c r="A133" s="238" t="s">
        <v>274</v>
      </c>
      <c r="B133" s="246" t="s">
        <v>275</v>
      </c>
      <c r="C133" s="553" t="s">
        <v>58</v>
      </c>
      <c r="D133" s="554">
        <v>416.5</v>
      </c>
      <c r="E133" s="554">
        <v>81.36</v>
      </c>
      <c r="F133" s="605">
        <f t="shared" si="8"/>
        <v>33886.44</v>
      </c>
      <c r="G133" s="606"/>
      <c r="H133" s="385">
        <f t="shared" si="9"/>
        <v>33886.44</v>
      </c>
      <c r="I133" s="575"/>
      <c r="J133" s="555"/>
      <c r="K133" s="555"/>
      <c r="L133" s="555"/>
      <c r="M133" s="555"/>
      <c r="N133" s="555"/>
      <c r="O133" s="555"/>
      <c r="P133" s="555"/>
      <c r="Q133" s="555"/>
      <c r="R133" s="555"/>
      <c r="S133" s="555"/>
      <c r="T133" s="555"/>
      <c r="U133" s="555">
        <v>11224.88</v>
      </c>
      <c r="V133" s="555">
        <f>+W133</f>
        <v>9848.2450000000008</v>
      </c>
      <c r="W133" s="555">
        <v>9848.2450000000008</v>
      </c>
      <c r="X133" s="555">
        <v>2965.07</v>
      </c>
      <c r="Y133" s="555"/>
      <c r="Z133" s="555"/>
      <c r="AA133" s="555"/>
      <c r="AB133" s="555"/>
      <c r="AC133" s="555"/>
      <c r="AD133" s="563"/>
      <c r="AE133" s="357">
        <f>SUM(I133:AD133)</f>
        <v>33886.44</v>
      </c>
      <c r="AF133" s="254"/>
      <c r="AG133" s="254">
        <f t="shared" si="11"/>
        <v>33886.44</v>
      </c>
      <c r="AH133" s="240">
        <f t="shared" si="7"/>
        <v>0</v>
      </c>
    </row>
    <row r="134" spans="1:34" s="234" customFormat="1" ht="18" customHeight="1">
      <c r="A134" s="244" t="s">
        <v>276</v>
      </c>
      <c r="B134" s="245" t="s">
        <v>249</v>
      </c>
      <c r="C134" s="557"/>
      <c r="D134" s="558"/>
      <c r="E134" s="558"/>
      <c r="F134" s="605"/>
      <c r="G134" s="606"/>
      <c r="H134" s="385">
        <f t="shared" si="9"/>
        <v>0</v>
      </c>
      <c r="I134" s="575"/>
      <c r="J134" s="555"/>
      <c r="K134" s="555"/>
      <c r="L134" s="555"/>
      <c r="M134" s="555"/>
      <c r="N134" s="555"/>
      <c r="O134" s="555"/>
      <c r="P134" s="555"/>
      <c r="Q134" s="555"/>
      <c r="R134" s="555"/>
      <c r="S134" s="555"/>
      <c r="T134" s="555"/>
      <c r="U134" s="555"/>
      <c r="V134" s="555"/>
      <c r="W134" s="555"/>
      <c r="X134" s="555"/>
      <c r="Y134" s="555"/>
      <c r="Z134" s="555"/>
      <c r="AA134" s="555"/>
      <c r="AB134" s="555"/>
      <c r="AC134" s="555"/>
      <c r="AD134" s="563"/>
      <c r="AE134" s="357"/>
      <c r="AF134" s="254"/>
      <c r="AG134" s="254">
        <f t="shared" si="11"/>
        <v>0</v>
      </c>
      <c r="AH134" s="240">
        <f t="shared" si="7"/>
        <v>0</v>
      </c>
    </row>
    <row r="135" spans="1:34" s="234" customFormat="1" ht="18" customHeight="1">
      <c r="A135" s="238" t="s">
        <v>277</v>
      </c>
      <c r="B135" s="246" t="s">
        <v>251</v>
      </c>
      <c r="C135" s="553" t="s">
        <v>161</v>
      </c>
      <c r="D135" s="554">
        <v>61813.61</v>
      </c>
      <c r="E135" s="554">
        <v>3.89</v>
      </c>
      <c r="F135" s="605">
        <f t="shared" si="8"/>
        <v>240454.94</v>
      </c>
      <c r="G135" s="606"/>
      <c r="H135" s="385">
        <f t="shared" si="9"/>
        <v>240454.94</v>
      </c>
      <c r="I135" s="575"/>
      <c r="J135" s="555"/>
      <c r="K135" s="555"/>
      <c r="L135" s="555"/>
      <c r="M135" s="555"/>
      <c r="N135" s="555"/>
      <c r="O135" s="555"/>
      <c r="P135" s="555"/>
      <c r="Q135" s="555"/>
      <c r="R135" s="555"/>
      <c r="S135" s="555"/>
      <c r="T135" s="555"/>
      <c r="U135" s="555"/>
      <c r="V135" s="555">
        <f>+W135</f>
        <v>99187.664999999994</v>
      </c>
      <c r="W135" s="555">
        <v>99187.664999999994</v>
      </c>
      <c r="X135" s="555">
        <v>42079.61</v>
      </c>
      <c r="Y135" s="555"/>
      <c r="Z135" s="555"/>
      <c r="AA135" s="555"/>
      <c r="AB135" s="555"/>
      <c r="AC135" s="555"/>
      <c r="AD135" s="563"/>
      <c r="AE135" s="357">
        <f>SUM(I135:AD135)</f>
        <v>240454.94</v>
      </c>
      <c r="AF135" s="254"/>
      <c r="AG135" s="254">
        <f t="shared" si="11"/>
        <v>240454.94</v>
      </c>
      <c r="AH135" s="240">
        <f t="shared" si="7"/>
        <v>0</v>
      </c>
    </row>
    <row r="136" spans="1:34" s="234" customFormat="1" ht="18" customHeight="1">
      <c r="A136" s="244" t="s">
        <v>278</v>
      </c>
      <c r="B136" s="245" t="s">
        <v>253</v>
      </c>
      <c r="C136" s="557"/>
      <c r="D136" s="558"/>
      <c r="E136" s="558"/>
      <c r="F136" s="605"/>
      <c r="G136" s="606"/>
      <c r="H136" s="385">
        <f t="shared" si="9"/>
        <v>0</v>
      </c>
      <c r="I136" s="575"/>
      <c r="J136" s="555"/>
      <c r="K136" s="555"/>
      <c r="L136" s="555"/>
      <c r="M136" s="555"/>
      <c r="N136" s="555"/>
      <c r="O136" s="555"/>
      <c r="P136" s="555"/>
      <c r="Q136" s="555"/>
      <c r="R136" s="555"/>
      <c r="S136" s="555"/>
      <c r="T136" s="555"/>
      <c r="U136" s="555"/>
      <c r="V136" s="555"/>
      <c r="W136" s="555"/>
      <c r="X136" s="555"/>
      <c r="Y136" s="555"/>
      <c r="Z136" s="555"/>
      <c r="AA136" s="555"/>
      <c r="AB136" s="555"/>
      <c r="AC136" s="555"/>
      <c r="AD136" s="563"/>
      <c r="AE136" s="357"/>
      <c r="AF136" s="254"/>
      <c r="AG136" s="254">
        <f t="shared" si="11"/>
        <v>0</v>
      </c>
      <c r="AH136" s="240">
        <f t="shared" si="7"/>
        <v>0</v>
      </c>
    </row>
    <row r="137" spans="1:34" s="234" customFormat="1" ht="18" customHeight="1">
      <c r="A137" s="238" t="s">
        <v>279</v>
      </c>
      <c r="B137" s="246" t="s">
        <v>165</v>
      </c>
      <c r="C137" s="553" t="s">
        <v>125</v>
      </c>
      <c r="D137" s="554">
        <v>81</v>
      </c>
      <c r="E137" s="554">
        <v>142.72</v>
      </c>
      <c r="F137" s="605">
        <f t="shared" si="8"/>
        <v>11560.32</v>
      </c>
      <c r="G137" s="606"/>
      <c r="H137" s="385">
        <f t="shared" si="9"/>
        <v>11560.32</v>
      </c>
      <c r="I137" s="575"/>
      <c r="J137" s="555"/>
      <c r="K137" s="555"/>
      <c r="L137" s="555"/>
      <c r="M137" s="555"/>
      <c r="N137" s="555"/>
      <c r="O137" s="555"/>
      <c r="P137" s="555"/>
      <c r="Q137" s="555"/>
      <c r="R137" s="555"/>
      <c r="S137" s="555"/>
      <c r="T137" s="555"/>
      <c r="U137" s="555"/>
      <c r="V137" s="555"/>
      <c r="W137" s="555"/>
      <c r="X137" s="555">
        <v>11560.32</v>
      </c>
      <c r="Y137" s="555"/>
      <c r="Z137" s="555"/>
      <c r="AA137" s="555"/>
      <c r="AB137" s="555"/>
      <c r="AC137" s="555"/>
      <c r="AD137" s="563"/>
      <c r="AE137" s="357">
        <f>SUM(I137:AD137)</f>
        <v>11560.32</v>
      </c>
      <c r="AF137" s="254"/>
      <c r="AG137" s="254">
        <f t="shared" si="11"/>
        <v>11560.32</v>
      </c>
      <c r="AH137" s="240">
        <f t="shared" si="7"/>
        <v>0</v>
      </c>
    </row>
    <row r="138" spans="1:34" s="234" customFormat="1" ht="18" customHeight="1">
      <c r="A138" s="238" t="s">
        <v>280</v>
      </c>
      <c r="B138" s="246" t="s">
        <v>261</v>
      </c>
      <c r="C138" s="553" t="s">
        <v>125</v>
      </c>
      <c r="D138" s="554">
        <v>47.6</v>
      </c>
      <c r="E138" s="554">
        <v>38.479999999999997</v>
      </c>
      <c r="F138" s="605">
        <f t="shared" si="8"/>
        <v>1831.65</v>
      </c>
      <c r="G138" s="606"/>
      <c r="H138" s="385">
        <f t="shared" si="9"/>
        <v>1831.65</v>
      </c>
      <c r="I138" s="575"/>
      <c r="J138" s="555"/>
      <c r="K138" s="555"/>
      <c r="L138" s="555"/>
      <c r="M138" s="555"/>
      <c r="N138" s="555"/>
      <c r="O138" s="555"/>
      <c r="P138" s="555"/>
      <c r="Q138" s="555"/>
      <c r="R138" s="555"/>
      <c r="S138" s="555"/>
      <c r="T138" s="555"/>
      <c r="U138" s="555"/>
      <c r="V138" s="555"/>
      <c r="W138" s="555"/>
      <c r="X138" s="555">
        <v>1831.65</v>
      </c>
      <c r="Y138" s="555"/>
      <c r="Z138" s="555"/>
      <c r="AA138" s="555"/>
      <c r="AB138" s="555"/>
      <c r="AC138" s="555"/>
      <c r="AD138" s="563"/>
      <c r="AE138" s="357">
        <f>SUM(I138:AD138)</f>
        <v>1831.65</v>
      </c>
      <c r="AF138" s="254"/>
      <c r="AG138" s="254">
        <f t="shared" si="11"/>
        <v>1831.65</v>
      </c>
      <c r="AH138" s="240">
        <f t="shared" si="7"/>
        <v>0</v>
      </c>
    </row>
    <row r="139" spans="1:34" s="234" customFormat="1" ht="18" customHeight="1">
      <c r="A139" s="238" t="s">
        <v>281</v>
      </c>
      <c r="B139" s="246" t="s">
        <v>282</v>
      </c>
      <c r="C139" s="553" t="s">
        <v>125</v>
      </c>
      <c r="D139" s="554">
        <v>47.6</v>
      </c>
      <c r="E139" s="554">
        <v>38.479999999999997</v>
      </c>
      <c r="F139" s="605">
        <f t="shared" si="8"/>
        <v>1831.65</v>
      </c>
      <c r="G139" s="606"/>
      <c r="H139" s="385">
        <f t="shared" si="9"/>
        <v>1831.65</v>
      </c>
      <c r="I139" s="575"/>
      <c r="J139" s="555"/>
      <c r="K139" s="555"/>
      <c r="L139" s="555"/>
      <c r="M139" s="555"/>
      <c r="N139" s="555"/>
      <c r="O139" s="555"/>
      <c r="P139" s="555"/>
      <c r="Q139" s="555"/>
      <c r="R139" s="555"/>
      <c r="S139" s="555"/>
      <c r="T139" s="555"/>
      <c r="U139" s="555"/>
      <c r="V139" s="555"/>
      <c r="W139" s="555"/>
      <c r="X139" s="555">
        <v>1831.65</v>
      </c>
      <c r="Y139" s="555"/>
      <c r="Z139" s="555"/>
      <c r="AA139" s="555"/>
      <c r="AB139" s="555"/>
      <c r="AC139" s="555"/>
      <c r="AD139" s="563"/>
      <c r="AE139" s="357">
        <f>SUM(I139:AD139)</f>
        <v>1831.65</v>
      </c>
      <c r="AF139" s="254"/>
      <c r="AG139" s="254">
        <f t="shared" si="11"/>
        <v>1831.65</v>
      </c>
      <c r="AH139" s="240">
        <f t="shared" si="7"/>
        <v>0</v>
      </c>
    </row>
    <row r="140" spans="1:34" s="234" customFormat="1" ht="18" customHeight="1">
      <c r="A140" s="238" t="s">
        <v>283</v>
      </c>
      <c r="B140" s="246" t="s">
        <v>284</v>
      </c>
      <c r="C140" s="553" t="s">
        <v>125</v>
      </c>
      <c r="D140" s="554">
        <v>121.2</v>
      </c>
      <c r="E140" s="554">
        <v>38.479999999999997</v>
      </c>
      <c r="F140" s="605">
        <f t="shared" si="8"/>
        <v>4663.78</v>
      </c>
      <c r="G140" s="606"/>
      <c r="H140" s="385">
        <f t="shared" si="9"/>
        <v>4663.78</v>
      </c>
      <c r="I140" s="575"/>
      <c r="J140" s="555"/>
      <c r="K140" s="555"/>
      <c r="L140" s="555"/>
      <c r="M140" s="555"/>
      <c r="N140" s="555"/>
      <c r="O140" s="555"/>
      <c r="P140" s="555"/>
      <c r="Q140" s="555"/>
      <c r="R140" s="555"/>
      <c r="S140" s="555"/>
      <c r="T140" s="555"/>
      <c r="U140" s="555"/>
      <c r="V140" s="555"/>
      <c r="W140" s="555"/>
      <c r="X140" s="555">
        <v>4663.78</v>
      </c>
      <c r="Y140" s="555"/>
      <c r="Z140" s="555"/>
      <c r="AA140" s="555"/>
      <c r="AB140" s="555"/>
      <c r="AC140" s="555"/>
      <c r="AD140" s="563"/>
      <c r="AE140" s="357">
        <f>SUM(I140:AD140)</f>
        <v>4663.78</v>
      </c>
      <c r="AF140" s="254"/>
      <c r="AG140" s="254">
        <f t="shared" si="11"/>
        <v>4663.78</v>
      </c>
      <c r="AH140" s="240">
        <f t="shared" si="7"/>
        <v>0</v>
      </c>
    </row>
    <row r="141" spans="1:34" s="234" customFormat="1" ht="18" customHeight="1">
      <c r="A141" s="238" t="s">
        <v>285</v>
      </c>
      <c r="B141" s="246" t="s">
        <v>286</v>
      </c>
      <c r="C141" s="553" t="s">
        <v>125</v>
      </c>
      <c r="D141" s="554">
        <v>14.8</v>
      </c>
      <c r="E141" s="554">
        <v>224.13</v>
      </c>
      <c r="F141" s="605">
        <f t="shared" si="8"/>
        <v>3317.12</v>
      </c>
      <c r="G141" s="606"/>
      <c r="H141" s="385">
        <f t="shared" si="9"/>
        <v>3317.12</v>
      </c>
      <c r="I141" s="57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5"/>
      <c r="W141" s="555"/>
      <c r="X141" s="555">
        <v>1382.13</v>
      </c>
      <c r="Y141" s="555">
        <v>1934.99</v>
      </c>
      <c r="Z141" s="555"/>
      <c r="AA141" s="555"/>
      <c r="AB141" s="555"/>
      <c r="AC141" s="555"/>
      <c r="AD141" s="563"/>
      <c r="AE141" s="357">
        <f>SUM(I141:AD141)</f>
        <v>3317.12</v>
      </c>
      <c r="AF141" s="254"/>
      <c r="AG141" s="254">
        <f t="shared" si="11"/>
        <v>3317.12</v>
      </c>
      <c r="AH141" s="240">
        <f t="shared" ref="AH141:AH189" si="16">+F141-AG141</f>
        <v>0</v>
      </c>
    </row>
    <row r="142" spans="1:34" s="234" customFormat="1" ht="23.25" customHeight="1">
      <c r="A142" s="235" t="s">
        <v>287</v>
      </c>
      <c r="B142" s="241" t="s">
        <v>288</v>
      </c>
      <c r="C142" s="242"/>
      <c r="D142" s="243"/>
      <c r="E142" s="243"/>
      <c r="F142" s="605"/>
      <c r="G142" s="606"/>
      <c r="H142" s="385">
        <f t="shared" ref="H142:H170" si="17">+F142-G142</f>
        <v>0</v>
      </c>
      <c r="I142" s="575"/>
      <c r="J142" s="555"/>
      <c r="K142" s="555"/>
      <c r="L142" s="555"/>
      <c r="M142" s="555"/>
      <c r="N142" s="555"/>
      <c r="O142" s="555"/>
      <c r="P142" s="555"/>
      <c r="Q142" s="555"/>
      <c r="R142" s="555"/>
      <c r="S142" s="555"/>
      <c r="T142" s="555"/>
      <c r="U142" s="555"/>
      <c r="V142" s="555"/>
      <c r="W142" s="555"/>
      <c r="X142" s="555"/>
      <c r="Y142" s="555"/>
      <c r="Z142" s="555"/>
      <c r="AA142" s="555"/>
      <c r="AB142" s="555"/>
      <c r="AC142" s="555"/>
      <c r="AD142" s="563"/>
      <c r="AE142" s="357"/>
      <c r="AF142" s="254"/>
      <c r="AG142" s="254">
        <f t="shared" ref="AG142:AG189" si="18">SUM(I142:AD142)</f>
        <v>0</v>
      </c>
      <c r="AH142" s="240">
        <f t="shared" si="16"/>
        <v>0</v>
      </c>
    </row>
    <row r="143" spans="1:34" s="234" customFormat="1" ht="18" customHeight="1">
      <c r="A143" s="244" t="s">
        <v>289</v>
      </c>
      <c r="B143" s="245" t="s">
        <v>85</v>
      </c>
      <c r="C143" s="557"/>
      <c r="D143" s="558"/>
      <c r="E143" s="558"/>
      <c r="F143" s="605"/>
      <c r="G143" s="606"/>
      <c r="H143" s="385">
        <f t="shared" si="17"/>
        <v>0</v>
      </c>
      <c r="I143" s="575"/>
      <c r="J143" s="555"/>
      <c r="K143" s="555"/>
      <c r="L143" s="555"/>
      <c r="M143" s="555"/>
      <c r="N143" s="555"/>
      <c r="O143" s="555"/>
      <c r="P143" s="555"/>
      <c r="Q143" s="555"/>
      <c r="R143" s="555"/>
      <c r="S143" s="555"/>
      <c r="T143" s="555"/>
      <c r="U143" s="555"/>
      <c r="V143" s="555"/>
      <c r="W143" s="555"/>
      <c r="X143" s="555"/>
      <c r="Y143" s="555"/>
      <c r="Z143" s="555"/>
      <c r="AA143" s="555"/>
      <c r="AB143" s="555"/>
      <c r="AC143" s="555"/>
      <c r="AD143" s="563"/>
      <c r="AE143" s="357"/>
      <c r="AF143" s="254"/>
      <c r="AG143" s="254">
        <f t="shared" si="18"/>
        <v>0</v>
      </c>
      <c r="AH143" s="240">
        <f t="shared" si="16"/>
        <v>0</v>
      </c>
    </row>
    <row r="144" spans="1:34" s="234" customFormat="1" ht="18" customHeight="1">
      <c r="A144" s="238" t="s">
        <v>290</v>
      </c>
      <c r="B144" s="246" t="s">
        <v>89</v>
      </c>
      <c r="C144" s="553" t="s">
        <v>59</v>
      </c>
      <c r="D144" s="554">
        <v>2457.7600000000002</v>
      </c>
      <c r="E144" s="554">
        <v>17.36</v>
      </c>
      <c r="F144" s="605">
        <f t="shared" ref="F144:F170" si="19">ROUND(D144*E144,2)</f>
        <v>42666.71</v>
      </c>
      <c r="G144" s="606"/>
      <c r="H144" s="385">
        <f t="shared" si="17"/>
        <v>42666.71</v>
      </c>
      <c r="I144" s="575"/>
      <c r="J144" s="555"/>
      <c r="K144" s="555"/>
      <c r="L144" s="555"/>
      <c r="M144" s="555"/>
      <c r="N144" s="555"/>
      <c r="O144" s="555"/>
      <c r="P144" s="555"/>
      <c r="Q144" s="555"/>
      <c r="R144" s="555"/>
      <c r="S144" s="555"/>
      <c r="T144" s="555"/>
      <c r="U144" s="555"/>
      <c r="V144" s="555"/>
      <c r="W144" s="555"/>
      <c r="X144" s="555">
        <v>42666.71</v>
      </c>
      <c r="Y144" s="555"/>
      <c r="Z144" s="555"/>
      <c r="AA144" s="555"/>
      <c r="AB144" s="555"/>
      <c r="AC144" s="555"/>
      <c r="AD144" s="563"/>
      <c r="AE144" s="357">
        <f>SUM(I144:AD144)</f>
        <v>42666.71</v>
      </c>
      <c r="AF144" s="254"/>
      <c r="AG144" s="254">
        <f t="shared" si="18"/>
        <v>42666.71</v>
      </c>
      <c r="AH144" s="240">
        <f t="shared" si="16"/>
        <v>0</v>
      </c>
    </row>
    <row r="145" spans="1:34" s="234" customFormat="1" ht="18" customHeight="1">
      <c r="A145" s="238" t="s">
        <v>291</v>
      </c>
      <c r="B145" s="246" t="s">
        <v>175</v>
      </c>
      <c r="C145" s="553" t="s">
        <v>59</v>
      </c>
      <c r="D145" s="554">
        <v>2457.7600000000002</v>
      </c>
      <c r="E145" s="554">
        <v>23.3</v>
      </c>
      <c r="F145" s="605">
        <f t="shared" si="19"/>
        <v>57265.81</v>
      </c>
      <c r="G145" s="606"/>
      <c r="H145" s="385">
        <f t="shared" si="17"/>
        <v>57265.81</v>
      </c>
      <c r="I145" s="575"/>
      <c r="J145" s="555"/>
      <c r="K145" s="555"/>
      <c r="L145" s="555"/>
      <c r="M145" s="555"/>
      <c r="N145" s="555"/>
      <c r="O145" s="555"/>
      <c r="P145" s="555"/>
      <c r="Q145" s="555"/>
      <c r="R145" s="555"/>
      <c r="S145" s="555"/>
      <c r="T145" s="555"/>
      <c r="U145" s="555"/>
      <c r="V145" s="555"/>
      <c r="W145" s="555"/>
      <c r="X145" s="555">
        <v>57265.81</v>
      </c>
      <c r="Y145" s="555"/>
      <c r="Z145" s="555"/>
      <c r="AA145" s="555"/>
      <c r="AB145" s="555"/>
      <c r="AC145" s="555"/>
      <c r="AD145" s="563"/>
      <c r="AE145" s="357">
        <f>SUM(I145:AD145)</f>
        <v>57265.81</v>
      </c>
      <c r="AF145" s="254"/>
      <c r="AG145" s="254">
        <f t="shared" si="18"/>
        <v>57265.81</v>
      </c>
      <c r="AH145" s="240">
        <f t="shared" si="16"/>
        <v>0</v>
      </c>
    </row>
    <row r="146" spans="1:34" s="234" customFormat="1" ht="18" customHeight="1">
      <c r="A146" s="238" t="s">
        <v>292</v>
      </c>
      <c r="B146" s="246" t="s">
        <v>293</v>
      </c>
      <c r="C146" s="553" t="s">
        <v>59</v>
      </c>
      <c r="D146" s="554">
        <v>1638.51</v>
      </c>
      <c r="E146" s="554">
        <v>29.14</v>
      </c>
      <c r="F146" s="605">
        <f t="shared" si="19"/>
        <v>47746.18</v>
      </c>
      <c r="G146" s="606"/>
      <c r="H146" s="385">
        <f t="shared" si="17"/>
        <v>47746.18</v>
      </c>
      <c r="I146" s="575"/>
      <c r="J146" s="555"/>
      <c r="K146" s="555"/>
      <c r="L146" s="555"/>
      <c r="M146" s="555"/>
      <c r="N146" s="555"/>
      <c r="O146" s="555"/>
      <c r="P146" s="555"/>
      <c r="Q146" s="555"/>
      <c r="R146" s="555"/>
      <c r="S146" s="555"/>
      <c r="T146" s="555"/>
      <c r="U146" s="555"/>
      <c r="V146" s="555"/>
      <c r="W146" s="555"/>
      <c r="X146" s="555">
        <v>47746.18</v>
      </c>
      <c r="Y146" s="555"/>
      <c r="Z146" s="555"/>
      <c r="AA146" s="555"/>
      <c r="AB146" s="555"/>
      <c r="AC146" s="555"/>
      <c r="AD146" s="563"/>
      <c r="AE146" s="357">
        <f>SUM(I146:AD146)</f>
        <v>47746.18</v>
      </c>
      <c r="AF146" s="254"/>
      <c r="AG146" s="254">
        <f t="shared" si="18"/>
        <v>47746.18</v>
      </c>
      <c r="AH146" s="240">
        <f t="shared" si="16"/>
        <v>0</v>
      </c>
    </row>
    <row r="147" spans="1:34" s="234" customFormat="1" ht="18" customHeight="1">
      <c r="A147" s="238" t="s">
        <v>294</v>
      </c>
      <c r="B147" s="246" t="s">
        <v>295</v>
      </c>
      <c r="C147" s="553" t="s">
        <v>59</v>
      </c>
      <c r="D147" s="554">
        <v>1638.51</v>
      </c>
      <c r="E147" s="554">
        <v>35.22</v>
      </c>
      <c r="F147" s="605">
        <f t="shared" si="19"/>
        <v>57708.32</v>
      </c>
      <c r="G147" s="606"/>
      <c r="H147" s="385">
        <f t="shared" si="17"/>
        <v>57708.32</v>
      </c>
      <c r="I147" s="575"/>
      <c r="J147" s="555"/>
      <c r="K147" s="555"/>
      <c r="L147" s="555"/>
      <c r="M147" s="555"/>
      <c r="N147" s="555"/>
      <c r="O147" s="555"/>
      <c r="P147" s="555"/>
      <c r="Q147" s="555"/>
      <c r="R147" s="555"/>
      <c r="S147" s="555"/>
      <c r="T147" s="555"/>
      <c r="U147" s="555"/>
      <c r="V147" s="555"/>
      <c r="W147" s="555"/>
      <c r="X147" s="555">
        <v>57708.32</v>
      </c>
      <c r="Y147" s="555"/>
      <c r="Z147" s="555"/>
      <c r="AA147" s="555"/>
      <c r="AB147" s="555"/>
      <c r="AC147" s="555"/>
      <c r="AD147" s="563"/>
      <c r="AE147" s="357">
        <f>SUM(I147:AD147)</f>
        <v>57708.32</v>
      </c>
      <c r="AF147" s="254"/>
      <c r="AG147" s="254">
        <f t="shared" si="18"/>
        <v>57708.32</v>
      </c>
      <c r="AH147" s="240">
        <f t="shared" si="16"/>
        <v>0</v>
      </c>
    </row>
    <row r="148" spans="1:34" s="234" customFormat="1" ht="18" customHeight="1">
      <c r="A148" s="238" t="s">
        <v>296</v>
      </c>
      <c r="B148" s="246" t="s">
        <v>297</v>
      </c>
      <c r="C148" s="553" t="s">
        <v>59</v>
      </c>
      <c r="D148" s="554">
        <v>4096.2700000000004</v>
      </c>
      <c r="E148" s="554">
        <v>9.48</v>
      </c>
      <c r="F148" s="605">
        <f t="shared" si="19"/>
        <v>38832.639999999999</v>
      </c>
      <c r="G148" s="606"/>
      <c r="H148" s="385">
        <f t="shared" si="17"/>
        <v>38832.639999999999</v>
      </c>
      <c r="I148" s="575"/>
      <c r="J148" s="555"/>
      <c r="K148" s="555"/>
      <c r="L148" s="555"/>
      <c r="M148" s="555"/>
      <c r="N148" s="555"/>
      <c r="O148" s="555"/>
      <c r="P148" s="555"/>
      <c r="Q148" s="555"/>
      <c r="R148" s="555"/>
      <c r="S148" s="555"/>
      <c r="T148" s="555"/>
      <c r="U148" s="555"/>
      <c r="V148" s="555"/>
      <c r="W148" s="555"/>
      <c r="X148" s="555">
        <v>38832.639999999999</v>
      </c>
      <c r="Y148" s="555"/>
      <c r="Z148" s="555"/>
      <c r="AA148" s="555"/>
      <c r="AB148" s="555"/>
      <c r="AC148" s="555"/>
      <c r="AD148" s="563"/>
      <c r="AE148" s="357">
        <f>SUM(I148:AD148)</f>
        <v>38832.639999999999</v>
      </c>
      <c r="AF148" s="254"/>
      <c r="AG148" s="254">
        <f t="shared" si="18"/>
        <v>38832.639999999999</v>
      </c>
      <c r="AH148" s="240">
        <f t="shared" si="16"/>
        <v>0</v>
      </c>
    </row>
    <row r="149" spans="1:34" s="234" customFormat="1" ht="18" customHeight="1">
      <c r="A149" s="244" t="s">
        <v>298</v>
      </c>
      <c r="B149" s="245" t="s">
        <v>112</v>
      </c>
      <c r="C149" s="557"/>
      <c r="D149" s="558"/>
      <c r="E149" s="558"/>
      <c r="F149" s="605"/>
      <c r="G149" s="606"/>
      <c r="H149" s="385">
        <f t="shared" si="17"/>
        <v>0</v>
      </c>
      <c r="I149" s="575"/>
      <c r="J149" s="555"/>
      <c r="K149" s="555"/>
      <c r="L149" s="555"/>
      <c r="M149" s="555"/>
      <c r="N149" s="555"/>
      <c r="O149" s="555"/>
      <c r="P149" s="555"/>
      <c r="Q149" s="555"/>
      <c r="R149" s="555"/>
      <c r="S149" s="555"/>
      <c r="T149" s="555"/>
      <c r="U149" s="555"/>
      <c r="V149" s="555"/>
      <c r="W149" s="555"/>
      <c r="X149" s="555"/>
      <c r="Y149" s="555"/>
      <c r="Z149" s="555"/>
      <c r="AA149" s="555"/>
      <c r="AB149" s="555"/>
      <c r="AC149" s="555"/>
      <c r="AD149" s="563"/>
      <c r="AE149" s="357"/>
      <c r="AF149" s="254"/>
      <c r="AG149" s="254">
        <f t="shared" si="18"/>
        <v>0</v>
      </c>
      <c r="AH149" s="240">
        <f t="shared" si="16"/>
        <v>0</v>
      </c>
    </row>
    <row r="150" spans="1:34" s="234" customFormat="1" ht="18" customHeight="1">
      <c r="A150" s="238" t="s">
        <v>299</v>
      </c>
      <c r="B150" s="246" t="s">
        <v>146</v>
      </c>
      <c r="C150" s="553" t="s">
        <v>59</v>
      </c>
      <c r="D150" s="554">
        <v>14.11</v>
      </c>
      <c r="E150" s="554">
        <v>243.32</v>
      </c>
      <c r="F150" s="605">
        <f t="shared" si="19"/>
        <v>3433.25</v>
      </c>
      <c r="G150" s="606"/>
      <c r="H150" s="385">
        <f t="shared" si="17"/>
        <v>3433.25</v>
      </c>
      <c r="I150" s="575"/>
      <c r="J150" s="555"/>
      <c r="K150" s="555"/>
      <c r="L150" s="555"/>
      <c r="M150" s="555"/>
      <c r="N150" s="555"/>
      <c r="O150" s="555"/>
      <c r="P150" s="555"/>
      <c r="Q150" s="555"/>
      <c r="R150" s="555"/>
      <c r="S150" s="555"/>
      <c r="T150" s="555"/>
      <c r="U150" s="555"/>
      <c r="V150" s="555"/>
      <c r="W150" s="555"/>
      <c r="X150" s="555">
        <v>2188.6999999999998</v>
      </c>
      <c r="Y150" s="555">
        <v>1244.55</v>
      </c>
      <c r="Z150" s="555"/>
      <c r="AA150" s="555"/>
      <c r="AB150" s="555"/>
      <c r="AC150" s="555"/>
      <c r="AD150" s="563"/>
      <c r="AE150" s="357">
        <f>SUM(I150:AD150)</f>
        <v>3433.25</v>
      </c>
      <c r="AF150" s="254"/>
      <c r="AG150" s="254">
        <f t="shared" si="18"/>
        <v>3433.25</v>
      </c>
      <c r="AH150" s="240">
        <f t="shared" si="16"/>
        <v>0</v>
      </c>
    </row>
    <row r="151" spans="1:34" s="234" customFormat="1" ht="18" customHeight="1">
      <c r="A151" s="238" t="s">
        <v>300</v>
      </c>
      <c r="B151" s="246" t="s">
        <v>114</v>
      </c>
      <c r="C151" s="553" t="s">
        <v>59</v>
      </c>
      <c r="D151" s="554">
        <v>241.15</v>
      </c>
      <c r="E151" s="554">
        <v>371.76</v>
      </c>
      <c r="F151" s="605">
        <f t="shared" si="19"/>
        <v>89649.919999999998</v>
      </c>
      <c r="G151" s="606"/>
      <c r="H151" s="385">
        <f t="shared" si="17"/>
        <v>89649.919999999998</v>
      </c>
      <c r="I151" s="575"/>
      <c r="J151" s="555"/>
      <c r="K151" s="555"/>
      <c r="L151" s="555"/>
      <c r="M151" s="555"/>
      <c r="N151" s="555"/>
      <c r="O151" s="555"/>
      <c r="P151" s="555"/>
      <c r="Q151" s="555"/>
      <c r="R151" s="555"/>
      <c r="S151" s="555"/>
      <c r="T151" s="555"/>
      <c r="U151" s="555"/>
      <c r="V151" s="555"/>
      <c r="W151" s="555"/>
      <c r="X151" s="555"/>
      <c r="Y151" s="555">
        <v>89649.919999999998</v>
      </c>
      <c r="Z151" s="555"/>
      <c r="AA151" s="555"/>
      <c r="AB151" s="555"/>
      <c r="AC151" s="555"/>
      <c r="AD151" s="563"/>
      <c r="AE151" s="357">
        <f>SUM(I151:AD151)</f>
        <v>89649.919999999998</v>
      </c>
      <c r="AF151" s="254"/>
      <c r="AG151" s="254">
        <f t="shared" si="18"/>
        <v>89649.919999999998</v>
      </c>
      <c r="AH151" s="240">
        <f t="shared" si="16"/>
        <v>0</v>
      </c>
    </row>
    <row r="152" spans="1:34" s="234" customFormat="1" ht="18" customHeight="1">
      <c r="A152" s="238" t="s">
        <v>301</v>
      </c>
      <c r="B152" s="246" t="s">
        <v>149</v>
      </c>
      <c r="C152" s="553" t="s">
        <v>58</v>
      </c>
      <c r="D152" s="554">
        <v>608.09</v>
      </c>
      <c r="E152" s="554">
        <v>67.91</v>
      </c>
      <c r="F152" s="605">
        <f t="shared" si="19"/>
        <v>41295.39</v>
      </c>
      <c r="G152" s="606"/>
      <c r="H152" s="385">
        <f t="shared" si="17"/>
        <v>41295.39</v>
      </c>
      <c r="I152" s="575"/>
      <c r="J152" s="555"/>
      <c r="K152" s="555"/>
      <c r="L152" s="555"/>
      <c r="M152" s="555"/>
      <c r="N152" s="555"/>
      <c r="O152" s="555"/>
      <c r="P152" s="555"/>
      <c r="Q152" s="555"/>
      <c r="R152" s="555"/>
      <c r="S152" s="555"/>
      <c r="T152" s="555"/>
      <c r="U152" s="555"/>
      <c r="V152" s="555"/>
      <c r="W152" s="555"/>
      <c r="X152" s="555"/>
      <c r="Y152" s="555">
        <v>41295.39</v>
      </c>
      <c r="Z152" s="555"/>
      <c r="AA152" s="555"/>
      <c r="AB152" s="555"/>
      <c r="AC152" s="555"/>
      <c r="AD152" s="563"/>
      <c r="AE152" s="357">
        <f>SUM(I152:AD152)</f>
        <v>41295.39</v>
      </c>
      <c r="AF152" s="254"/>
      <c r="AG152" s="254">
        <f t="shared" si="18"/>
        <v>41295.39</v>
      </c>
      <c r="AH152" s="240">
        <f t="shared" si="16"/>
        <v>0</v>
      </c>
    </row>
    <row r="153" spans="1:34" s="234" customFormat="1" ht="18" customHeight="1">
      <c r="A153" s="244" t="s">
        <v>302</v>
      </c>
      <c r="B153" s="245" t="s">
        <v>118</v>
      </c>
      <c r="C153" s="557"/>
      <c r="D153" s="558"/>
      <c r="E153" s="558"/>
      <c r="F153" s="605"/>
      <c r="G153" s="606"/>
      <c r="H153" s="385">
        <f t="shared" si="17"/>
        <v>0</v>
      </c>
      <c r="I153" s="575"/>
      <c r="J153" s="555"/>
      <c r="K153" s="555"/>
      <c r="L153" s="555"/>
      <c r="M153" s="555"/>
      <c r="N153" s="555"/>
      <c r="O153" s="555"/>
      <c r="P153" s="555"/>
      <c r="Q153" s="555"/>
      <c r="R153" s="555"/>
      <c r="S153" s="555"/>
      <c r="T153" s="555"/>
      <c r="U153" s="555"/>
      <c r="V153" s="555"/>
      <c r="W153" s="555"/>
      <c r="X153" s="555"/>
      <c r="Y153" s="555"/>
      <c r="Z153" s="555"/>
      <c r="AA153" s="555"/>
      <c r="AB153" s="555"/>
      <c r="AC153" s="555"/>
      <c r="AD153" s="563"/>
      <c r="AE153" s="357"/>
      <c r="AF153" s="254"/>
      <c r="AG153" s="254">
        <f t="shared" si="18"/>
        <v>0</v>
      </c>
      <c r="AH153" s="240">
        <f t="shared" si="16"/>
        <v>0</v>
      </c>
    </row>
    <row r="154" spans="1:34" s="234" customFormat="1" ht="18" customHeight="1">
      <c r="A154" s="238" t="s">
        <v>303</v>
      </c>
      <c r="B154" s="246" t="s">
        <v>120</v>
      </c>
      <c r="C154" s="553" t="s">
        <v>58</v>
      </c>
      <c r="D154" s="554">
        <v>723.51</v>
      </c>
      <c r="E154" s="554">
        <v>56.77</v>
      </c>
      <c r="F154" s="605">
        <f t="shared" si="19"/>
        <v>41073.660000000003</v>
      </c>
      <c r="G154" s="606"/>
      <c r="H154" s="385">
        <f t="shared" si="17"/>
        <v>41073.660000000003</v>
      </c>
      <c r="I154" s="575"/>
      <c r="J154" s="555"/>
      <c r="K154" s="555"/>
      <c r="L154" s="555"/>
      <c r="M154" s="555"/>
      <c r="N154" s="555"/>
      <c r="O154" s="555"/>
      <c r="P154" s="555"/>
      <c r="Q154" s="555"/>
      <c r="R154" s="555"/>
      <c r="S154" s="555"/>
      <c r="T154" s="555"/>
      <c r="U154" s="555"/>
      <c r="V154" s="555"/>
      <c r="W154" s="555"/>
      <c r="X154" s="555">
        <v>17456.310000000001</v>
      </c>
      <c r="Y154" s="555">
        <v>23617.35</v>
      </c>
      <c r="Z154" s="555"/>
      <c r="AA154" s="555"/>
      <c r="AB154" s="555"/>
      <c r="AC154" s="555"/>
      <c r="AD154" s="563"/>
      <c r="AE154" s="357">
        <f>SUM(I154:AD154)</f>
        <v>41073.660000000003</v>
      </c>
      <c r="AF154" s="254"/>
      <c r="AG154" s="254">
        <f t="shared" si="18"/>
        <v>41073.660000000003</v>
      </c>
      <c r="AH154" s="240">
        <f t="shared" si="16"/>
        <v>0</v>
      </c>
    </row>
    <row r="155" spans="1:34" s="234" customFormat="1" ht="18" customHeight="1">
      <c r="A155" s="238" t="s">
        <v>304</v>
      </c>
      <c r="B155" s="246" t="s">
        <v>305</v>
      </c>
      <c r="C155" s="553" t="s">
        <v>58</v>
      </c>
      <c r="D155" s="554">
        <v>15.08</v>
      </c>
      <c r="E155" s="554">
        <v>81.36</v>
      </c>
      <c r="F155" s="605">
        <f t="shared" si="19"/>
        <v>1226.9100000000001</v>
      </c>
      <c r="G155" s="606"/>
      <c r="H155" s="385">
        <f t="shared" si="17"/>
        <v>1226.9100000000001</v>
      </c>
      <c r="I155" s="575"/>
      <c r="J155" s="555"/>
      <c r="K155" s="555"/>
      <c r="L155" s="555"/>
      <c r="M155" s="555"/>
      <c r="N155" s="555"/>
      <c r="O155" s="555"/>
      <c r="P155" s="555"/>
      <c r="Q155" s="555"/>
      <c r="R155" s="555"/>
      <c r="S155" s="555"/>
      <c r="T155" s="555"/>
      <c r="U155" s="555"/>
      <c r="V155" s="555"/>
      <c r="W155" s="555"/>
      <c r="X155" s="555"/>
      <c r="Y155" s="555">
        <v>1226.9100000000001</v>
      </c>
      <c r="Z155" s="555"/>
      <c r="AA155" s="555"/>
      <c r="AB155" s="555"/>
      <c r="AC155" s="555"/>
      <c r="AD155" s="563"/>
      <c r="AE155" s="357">
        <f>SUM(I155:AD155)</f>
        <v>1226.9100000000001</v>
      </c>
      <c r="AF155" s="254"/>
      <c r="AG155" s="254">
        <f t="shared" si="18"/>
        <v>1226.9100000000001</v>
      </c>
      <c r="AH155" s="240">
        <f t="shared" si="16"/>
        <v>0</v>
      </c>
    </row>
    <row r="156" spans="1:34" s="234" customFormat="1" ht="18" customHeight="1">
      <c r="A156" s="244" t="s">
        <v>306</v>
      </c>
      <c r="B156" s="245" t="s">
        <v>249</v>
      </c>
      <c r="C156" s="557"/>
      <c r="D156" s="558"/>
      <c r="E156" s="558"/>
      <c r="F156" s="605"/>
      <c r="G156" s="606"/>
      <c r="H156" s="385">
        <f t="shared" si="17"/>
        <v>0</v>
      </c>
      <c r="I156" s="575"/>
      <c r="J156" s="555"/>
      <c r="K156" s="555"/>
      <c r="L156" s="555"/>
      <c r="M156" s="555"/>
      <c r="N156" s="555"/>
      <c r="O156" s="555"/>
      <c r="P156" s="555"/>
      <c r="Q156" s="555"/>
      <c r="R156" s="555"/>
      <c r="S156" s="555"/>
      <c r="T156" s="555"/>
      <c r="U156" s="555"/>
      <c r="V156" s="555"/>
      <c r="W156" s="555"/>
      <c r="X156" s="555"/>
      <c r="Y156" s="555"/>
      <c r="Z156" s="555"/>
      <c r="AA156" s="555"/>
      <c r="AB156" s="555"/>
      <c r="AC156" s="555"/>
      <c r="AD156" s="563"/>
      <c r="AE156" s="357"/>
      <c r="AF156" s="254"/>
      <c r="AG156" s="254">
        <f t="shared" si="18"/>
        <v>0</v>
      </c>
      <c r="AH156" s="240">
        <f t="shared" si="16"/>
        <v>0</v>
      </c>
    </row>
    <row r="157" spans="1:34" s="234" customFormat="1" ht="18" customHeight="1">
      <c r="A157" s="238" t="s">
        <v>307</v>
      </c>
      <c r="B157" s="246" t="s">
        <v>308</v>
      </c>
      <c r="C157" s="553" t="s">
        <v>161</v>
      </c>
      <c r="D157" s="554">
        <v>18398.080000000002</v>
      </c>
      <c r="E157" s="554">
        <v>3.89</v>
      </c>
      <c r="F157" s="605">
        <f t="shared" si="19"/>
        <v>71568.53</v>
      </c>
      <c r="G157" s="606"/>
      <c r="H157" s="385">
        <f t="shared" si="17"/>
        <v>71568.53</v>
      </c>
      <c r="I157" s="575"/>
      <c r="J157" s="555"/>
      <c r="K157" s="555"/>
      <c r="L157" s="555"/>
      <c r="M157" s="555"/>
      <c r="N157" s="555"/>
      <c r="O157" s="555"/>
      <c r="P157" s="555"/>
      <c r="Q157" s="555"/>
      <c r="R157" s="555"/>
      <c r="S157" s="555"/>
      <c r="T157" s="555"/>
      <c r="U157" s="555"/>
      <c r="V157" s="555"/>
      <c r="W157" s="555"/>
      <c r="X157" s="555"/>
      <c r="Y157" s="555">
        <v>71568.53</v>
      </c>
      <c r="Z157" s="555"/>
      <c r="AA157" s="555"/>
      <c r="AB157" s="555"/>
      <c r="AC157" s="555"/>
      <c r="AD157" s="563"/>
      <c r="AE157" s="357">
        <f>SUM(I157:AD157)</f>
        <v>71568.53</v>
      </c>
      <c r="AF157" s="254"/>
      <c r="AG157" s="254">
        <f t="shared" si="18"/>
        <v>71568.53</v>
      </c>
      <c r="AH157" s="240">
        <f t="shared" si="16"/>
        <v>0</v>
      </c>
    </row>
    <row r="158" spans="1:34" s="234" customFormat="1" ht="18" customHeight="1">
      <c r="A158" s="244" t="s">
        <v>309</v>
      </c>
      <c r="B158" s="245" t="s">
        <v>253</v>
      </c>
      <c r="C158" s="557"/>
      <c r="D158" s="558"/>
      <c r="E158" s="558"/>
      <c r="F158" s="605"/>
      <c r="G158" s="606"/>
      <c r="H158" s="385">
        <f t="shared" si="17"/>
        <v>0</v>
      </c>
      <c r="I158" s="575"/>
      <c r="J158" s="555"/>
      <c r="K158" s="555"/>
      <c r="L158" s="555"/>
      <c r="M158" s="555"/>
      <c r="N158" s="555"/>
      <c r="O158" s="555"/>
      <c r="P158" s="555"/>
      <c r="Q158" s="555"/>
      <c r="R158" s="555"/>
      <c r="S158" s="555"/>
      <c r="T158" s="555"/>
      <c r="U158" s="555"/>
      <c r="V158" s="555"/>
      <c r="W158" s="555"/>
      <c r="X158" s="555"/>
      <c r="Y158" s="555"/>
      <c r="Z158" s="555"/>
      <c r="AA158" s="555"/>
      <c r="AB158" s="555"/>
      <c r="AC158" s="555"/>
      <c r="AD158" s="563"/>
      <c r="AE158" s="357"/>
      <c r="AF158" s="254"/>
      <c r="AG158" s="254">
        <f t="shared" si="18"/>
        <v>0</v>
      </c>
      <c r="AH158" s="240">
        <f t="shared" si="16"/>
        <v>0</v>
      </c>
    </row>
    <row r="159" spans="1:34" s="234" customFormat="1" ht="18" customHeight="1">
      <c r="A159" s="238" t="s">
        <v>310</v>
      </c>
      <c r="B159" s="246" t="s">
        <v>311</v>
      </c>
      <c r="C159" s="553" t="s">
        <v>58</v>
      </c>
      <c r="D159" s="554">
        <v>9</v>
      </c>
      <c r="E159" s="554">
        <v>263.35000000000002</v>
      </c>
      <c r="F159" s="605">
        <f t="shared" si="19"/>
        <v>2370.15</v>
      </c>
      <c r="G159" s="606"/>
      <c r="H159" s="385">
        <f t="shared" si="17"/>
        <v>2370.15</v>
      </c>
      <c r="I159" s="57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5"/>
      <c r="Y159" s="555"/>
      <c r="Z159" s="555">
        <v>2370.15</v>
      </c>
      <c r="AA159" s="555"/>
      <c r="AB159" s="555"/>
      <c r="AC159" s="555"/>
      <c r="AD159" s="563"/>
      <c r="AE159" s="357">
        <f t="shared" ref="AE159:AE165" si="20">SUM(I159:AD159)</f>
        <v>2370.15</v>
      </c>
      <c r="AF159" s="254"/>
      <c r="AG159" s="254">
        <f t="shared" si="18"/>
        <v>2370.15</v>
      </c>
      <c r="AH159" s="240">
        <f t="shared" si="16"/>
        <v>0</v>
      </c>
    </row>
    <row r="160" spans="1:34" s="234" customFormat="1" ht="18" customHeight="1">
      <c r="A160" s="238" t="s">
        <v>312</v>
      </c>
      <c r="B160" s="246" t="s">
        <v>313</v>
      </c>
      <c r="C160" s="553" t="s">
        <v>58</v>
      </c>
      <c r="D160" s="554">
        <v>9.15</v>
      </c>
      <c r="E160" s="554">
        <v>179.91</v>
      </c>
      <c r="F160" s="605">
        <f t="shared" si="19"/>
        <v>1646.18</v>
      </c>
      <c r="G160" s="606"/>
      <c r="H160" s="385">
        <f t="shared" si="17"/>
        <v>1646.18</v>
      </c>
      <c r="I160" s="575"/>
      <c r="J160" s="555"/>
      <c r="K160" s="555"/>
      <c r="L160" s="555"/>
      <c r="M160" s="555"/>
      <c r="N160" s="555"/>
      <c r="O160" s="555"/>
      <c r="P160" s="555"/>
      <c r="Q160" s="555"/>
      <c r="R160" s="555"/>
      <c r="S160" s="555"/>
      <c r="T160" s="555"/>
      <c r="U160" s="555"/>
      <c r="V160" s="555"/>
      <c r="W160" s="555"/>
      <c r="X160" s="555"/>
      <c r="Y160" s="555"/>
      <c r="Z160" s="555">
        <v>1646.18</v>
      </c>
      <c r="AA160" s="555"/>
      <c r="AB160" s="555"/>
      <c r="AC160" s="555"/>
      <c r="AD160" s="563"/>
      <c r="AE160" s="357">
        <f t="shared" si="20"/>
        <v>1646.18</v>
      </c>
      <c r="AF160" s="254"/>
      <c r="AG160" s="254">
        <f t="shared" si="18"/>
        <v>1646.18</v>
      </c>
      <c r="AH160" s="240">
        <f t="shared" si="16"/>
        <v>0</v>
      </c>
    </row>
    <row r="161" spans="1:34" s="234" customFormat="1" ht="18" customHeight="1">
      <c r="A161" s="238" t="s">
        <v>314</v>
      </c>
      <c r="B161" s="246" t="s">
        <v>315</v>
      </c>
      <c r="C161" s="553" t="s">
        <v>58</v>
      </c>
      <c r="D161" s="554">
        <v>34.97</v>
      </c>
      <c r="E161" s="554">
        <v>23.08</v>
      </c>
      <c r="F161" s="605">
        <f t="shared" si="19"/>
        <v>807.11</v>
      </c>
      <c r="G161" s="606"/>
      <c r="H161" s="385">
        <f t="shared" si="17"/>
        <v>807.11</v>
      </c>
      <c r="I161" s="575"/>
      <c r="J161" s="555"/>
      <c r="K161" s="555"/>
      <c r="L161" s="555"/>
      <c r="M161" s="555"/>
      <c r="N161" s="555"/>
      <c r="O161" s="555"/>
      <c r="P161" s="555"/>
      <c r="Q161" s="555"/>
      <c r="R161" s="555"/>
      <c r="S161" s="555"/>
      <c r="T161" s="555"/>
      <c r="U161" s="555"/>
      <c r="V161" s="555"/>
      <c r="W161" s="555"/>
      <c r="X161" s="555"/>
      <c r="Y161" s="555"/>
      <c r="Z161" s="555">
        <v>807.11</v>
      </c>
      <c r="AA161" s="555"/>
      <c r="AB161" s="555"/>
      <c r="AC161" s="555"/>
      <c r="AD161" s="563"/>
      <c r="AE161" s="357">
        <f t="shared" si="20"/>
        <v>807.11</v>
      </c>
      <c r="AF161" s="254"/>
      <c r="AG161" s="254">
        <f t="shared" si="18"/>
        <v>807.11</v>
      </c>
      <c r="AH161" s="240">
        <f t="shared" si="16"/>
        <v>0</v>
      </c>
    </row>
    <row r="162" spans="1:34" s="234" customFormat="1" ht="18" customHeight="1">
      <c r="A162" s="238" t="s">
        <v>316</v>
      </c>
      <c r="B162" s="246" t="s">
        <v>317</v>
      </c>
      <c r="C162" s="553" t="s">
        <v>125</v>
      </c>
      <c r="D162" s="554">
        <v>60</v>
      </c>
      <c r="E162" s="554">
        <v>142.72</v>
      </c>
      <c r="F162" s="605">
        <f t="shared" si="19"/>
        <v>8563.2000000000007</v>
      </c>
      <c r="G162" s="606"/>
      <c r="H162" s="385">
        <f t="shared" si="17"/>
        <v>8563.2000000000007</v>
      </c>
      <c r="I162" s="575"/>
      <c r="J162" s="555"/>
      <c r="K162" s="555"/>
      <c r="L162" s="555"/>
      <c r="M162" s="555"/>
      <c r="N162" s="555"/>
      <c r="O162" s="555"/>
      <c r="P162" s="555"/>
      <c r="Q162" s="555"/>
      <c r="R162" s="555"/>
      <c r="S162" s="555"/>
      <c r="T162" s="555"/>
      <c r="U162" s="555"/>
      <c r="V162" s="555"/>
      <c r="W162" s="555"/>
      <c r="X162" s="555"/>
      <c r="Y162" s="555"/>
      <c r="Z162" s="555">
        <v>8563.2000000000007</v>
      </c>
      <c r="AA162" s="555"/>
      <c r="AB162" s="555"/>
      <c r="AC162" s="555"/>
      <c r="AD162" s="563"/>
      <c r="AE162" s="357">
        <f t="shared" si="20"/>
        <v>8563.2000000000007</v>
      </c>
      <c r="AF162" s="254"/>
      <c r="AG162" s="254">
        <f t="shared" si="18"/>
        <v>8563.2000000000007</v>
      </c>
      <c r="AH162" s="240">
        <f t="shared" si="16"/>
        <v>0</v>
      </c>
    </row>
    <row r="163" spans="1:34" s="234" customFormat="1" ht="18" customHeight="1">
      <c r="A163" s="238" t="s">
        <v>318</v>
      </c>
      <c r="B163" s="246" t="s">
        <v>319</v>
      </c>
      <c r="C163" s="553" t="s">
        <v>125</v>
      </c>
      <c r="D163" s="554">
        <v>26.59</v>
      </c>
      <c r="E163" s="554">
        <v>96.1</v>
      </c>
      <c r="F163" s="605">
        <f t="shared" si="19"/>
        <v>2555.3000000000002</v>
      </c>
      <c r="G163" s="606"/>
      <c r="H163" s="385">
        <f t="shared" si="17"/>
        <v>2555.3000000000002</v>
      </c>
      <c r="I163" s="575"/>
      <c r="J163" s="555"/>
      <c r="K163" s="555"/>
      <c r="L163" s="555"/>
      <c r="M163" s="555"/>
      <c r="N163" s="555"/>
      <c r="O163" s="555"/>
      <c r="P163" s="555"/>
      <c r="Q163" s="555"/>
      <c r="R163" s="555"/>
      <c r="S163" s="555"/>
      <c r="T163" s="555"/>
      <c r="U163" s="555"/>
      <c r="V163" s="555"/>
      <c r="W163" s="555"/>
      <c r="X163" s="555"/>
      <c r="Y163" s="555"/>
      <c r="Z163" s="555">
        <v>2555.3000000000002</v>
      </c>
      <c r="AA163" s="555"/>
      <c r="AB163" s="555"/>
      <c r="AC163" s="555"/>
      <c r="AD163" s="563"/>
      <c r="AE163" s="357">
        <f t="shared" si="20"/>
        <v>2555.3000000000002</v>
      </c>
      <c r="AF163" s="254"/>
      <c r="AG163" s="254">
        <f t="shared" si="18"/>
        <v>2555.3000000000002</v>
      </c>
      <c r="AH163" s="240">
        <f t="shared" si="16"/>
        <v>0</v>
      </c>
    </row>
    <row r="164" spans="1:34" s="234" customFormat="1" ht="18" customHeight="1">
      <c r="A164" s="238" t="s">
        <v>320</v>
      </c>
      <c r="B164" s="246" t="s">
        <v>321</v>
      </c>
      <c r="C164" s="553" t="s">
        <v>125</v>
      </c>
      <c r="D164" s="554">
        <v>28.6</v>
      </c>
      <c r="E164" s="554">
        <v>224.13</v>
      </c>
      <c r="F164" s="605">
        <f t="shared" si="19"/>
        <v>6410.12</v>
      </c>
      <c r="G164" s="606"/>
      <c r="H164" s="385">
        <f t="shared" si="17"/>
        <v>6410.12</v>
      </c>
      <c r="I164" s="575"/>
      <c r="J164" s="555"/>
      <c r="K164" s="555"/>
      <c r="L164" s="555"/>
      <c r="M164" s="555"/>
      <c r="N164" s="555"/>
      <c r="O164" s="555"/>
      <c r="P164" s="555"/>
      <c r="Q164" s="555"/>
      <c r="R164" s="555"/>
      <c r="S164" s="555"/>
      <c r="T164" s="555"/>
      <c r="U164" s="555"/>
      <c r="V164" s="555"/>
      <c r="W164" s="555"/>
      <c r="X164" s="555"/>
      <c r="Y164" s="555"/>
      <c r="Z164" s="555">
        <v>6410.12</v>
      </c>
      <c r="AA164" s="555"/>
      <c r="AB164" s="555"/>
      <c r="AC164" s="555"/>
      <c r="AD164" s="563"/>
      <c r="AE164" s="357">
        <f t="shared" si="20"/>
        <v>6410.12</v>
      </c>
      <c r="AF164" s="254"/>
      <c r="AG164" s="254">
        <f t="shared" si="18"/>
        <v>6410.12</v>
      </c>
      <c r="AH164" s="240">
        <f t="shared" si="16"/>
        <v>0</v>
      </c>
    </row>
    <row r="165" spans="1:34" s="234" customFormat="1" ht="18" customHeight="1">
      <c r="A165" s="238" t="s">
        <v>322</v>
      </c>
      <c r="B165" s="246" t="s">
        <v>323</v>
      </c>
      <c r="C165" s="553" t="s">
        <v>125</v>
      </c>
      <c r="D165" s="554">
        <v>220</v>
      </c>
      <c r="E165" s="554">
        <v>154.44999999999999</v>
      </c>
      <c r="F165" s="605">
        <f t="shared" si="19"/>
        <v>33979</v>
      </c>
      <c r="G165" s="606"/>
      <c r="H165" s="385">
        <f t="shared" si="17"/>
        <v>33979</v>
      </c>
      <c r="I165" s="575"/>
      <c r="J165" s="555"/>
      <c r="K165" s="555"/>
      <c r="L165" s="555"/>
      <c r="M165" s="555"/>
      <c r="N165" s="555"/>
      <c r="O165" s="555"/>
      <c r="P165" s="555"/>
      <c r="Q165" s="555"/>
      <c r="R165" s="555"/>
      <c r="S165" s="555"/>
      <c r="T165" s="555"/>
      <c r="U165" s="555"/>
      <c r="V165" s="555"/>
      <c r="W165" s="555"/>
      <c r="X165" s="555"/>
      <c r="Y165" s="555"/>
      <c r="Z165" s="555">
        <v>33979</v>
      </c>
      <c r="AA165" s="555"/>
      <c r="AB165" s="555"/>
      <c r="AC165" s="555"/>
      <c r="AD165" s="563"/>
      <c r="AE165" s="357">
        <f t="shared" si="20"/>
        <v>33979</v>
      </c>
      <c r="AF165" s="254"/>
      <c r="AG165" s="254">
        <f t="shared" si="18"/>
        <v>33979</v>
      </c>
      <c r="AH165" s="240">
        <f t="shared" si="16"/>
        <v>0</v>
      </c>
    </row>
    <row r="166" spans="1:34" s="234" customFormat="1" ht="18" customHeight="1">
      <c r="A166" s="248" t="s">
        <v>324</v>
      </c>
      <c r="B166" s="249" t="s">
        <v>325</v>
      </c>
      <c r="C166" s="564"/>
      <c r="D166" s="565"/>
      <c r="E166" s="565"/>
      <c r="F166" s="605"/>
      <c r="G166" s="606"/>
      <c r="H166" s="385">
        <f t="shared" si="17"/>
        <v>0</v>
      </c>
      <c r="I166" s="609"/>
      <c r="J166" s="555"/>
      <c r="K166" s="555"/>
      <c r="L166" s="555"/>
      <c r="M166" s="555"/>
      <c r="N166" s="555"/>
      <c r="O166" s="555"/>
      <c r="P166" s="555"/>
      <c r="Q166" s="555"/>
      <c r="R166" s="555"/>
      <c r="S166" s="555"/>
      <c r="T166" s="555"/>
      <c r="U166" s="555"/>
      <c r="V166" s="555"/>
      <c r="W166" s="555"/>
      <c r="X166" s="555"/>
      <c r="Y166" s="555"/>
      <c r="Z166" s="555"/>
      <c r="AA166" s="555"/>
      <c r="AB166" s="555"/>
      <c r="AC166" s="555"/>
      <c r="AD166" s="563"/>
      <c r="AE166" s="357"/>
      <c r="AF166" s="254"/>
      <c r="AG166" s="254">
        <f t="shared" si="18"/>
        <v>0</v>
      </c>
      <c r="AH166" s="240">
        <f t="shared" si="16"/>
        <v>0</v>
      </c>
    </row>
    <row r="167" spans="1:34" s="234" customFormat="1" ht="18" customHeight="1">
      <c r="A167" s="238" t="s">
        <v>326</v>
      </c>
      <c r="B167" s="246" t="s">
        <v>327</v>
      </c>
      <c r="C167" s="553" t="s">
        <v>70</v>
      </c>
      <c r="D167" s="554">
        <v>1</v>
      </c>
      <c r="E167" s="554">
        <v>85660.64</v>
      </c>
      <c r="F167" s="605">
        <f t="shared" si="19"/>
        <v>85660.64</v>
      </c>
      <c r="G167" s="606"/>
      <c r="H167" s="385">
        <f t="shared" si="17"/>
        <v>85660.64</v>
      </c>
      <c r="I167" s="575">
        <v>5268.51</v>
      </c>
      <c r="J167" s="555">
        <v>5287.46</v>
      </c>
      <c r="K167" s="555">
        <v>5116.8999999999996</v>
      </c>
      <c r="L167" s="555">
        <v>5287.46</v>
      </c>
      <c r="M167" s="555">
        <v>5116.8999999999996</v>
      </c>
      <c r="N167" s="555"/>
      <c r="O167" s="555"/>
      <c r="P167" s="555">
        <v>5287.46</v>
      </c>
      <c r="Q167" s="555">
        <v>5287.46</v>
      </c>
      <c r="R167" s="555">
        <v>4775.7700000000004</v>
      </c>
      <c r="S167" s="555">
        <v>5287.46</v>
      </c>
      <c r="T167" s="555">
        <v>5116.8999999999996</v>
      </c>
      <c r="U167" s="555">
        <v>5287.46</v>
      </c>
      <c r="V167" s="555"/>
      <c r="W167" s="555">
        <v>5116.8999999999996</v>
      </c>
      <c r="X167" s="555">
        <v>5287.46</v>
      </c>
      <c r="Y167" s="555">
        <v>5287.46</v>
      </c>
      <c r="Z167" s="555">
        <v>5116.8999999999996</v>
      </c>
      <c r="AA167" s="555">
        <v>5287.46</v>
      </c>
      <c r="AB167" s="555"/>
      <c r="AC167" s="555"/>
      <c r="AD167" s="563">
        <v>2444.7199999999998</v>
      </c>
      <c r="AE167" s="357">
        <f>SUM(I167:AD167)</f>
        <v>85660.640000000014</v>
      </c>
      <c r="AF167" s="254"/>
      <c r="AG167" s="254">
        <f t="shared" si="18"/>
        <v>85660.640000000014</v>
      </c>
      <c r="AH167" s="240">
        <f t="shared" si="16"/>
        <v>0</v>
      </c>
    </row>
    <row r="168" spans="1:34" s="234" customFormat="1" ht="18" customHeight="1">
      <c r="A168" s="250" t="s">
        <v>328</v>
      </c>
      <c r="B168" s="251" t="s">
        <v>329</v>
      </c>
      <c r="C168" s="566" t="s">
        <v>70</v>
      </c>
      <c r="D168" s="567">
        <v>1</v>
      </c>
      <c r="E168" s="567">
        <v>107740.5</v>
      </c>
      <c r="F168" s="605">
        <f t="shared" si="19"/>
        <v>107740.5</v>
      </c>
      <c r="G168" s="606"/>
      <c r="H168" s="385">
        <f t="shared" si="17"/>
        <v>107740.5</v>
      </c>
      <c r="I168" s="575">
        <v>6626.52</v>
      </c>
      <c r="J168" s="555">
        <v>6650.35</v>
      </c>
      <c r="K168" s="555">
        <v>6435.83</v>
      </c>
      <c r="L168" s="555">
        <v>6650.35</v>
      </c>
      <c r="M168" s="555">
        <v>6435.83</v>
      </c>
      <c r="N168" s="555"/>
      <c r="O168" s="555"/>
      <c r="P168" s="555">
        <v>6650.35</v>
      </c>
      <c r="Q168" s="555">
        <v>6650.35</v>
      </c>
      <c r="R168" s="555">
        <v>6006.77</v>
      </c>
      <c r="S168" s="555">
        <v>6650.35</v>
      </c>
      <c r="T168" s="555">
        <v>6435.83</v>
      </c>
      <c r="U168" s="555">
        <v>6650.35</v>
      </c>
      <c r="V168" s="555"/>
      <c r="W168" s="555">
        <v>6435.83</v>
      </c>
      <c r="X168" s="555">
        <v>6650.35</v>
      </c>
      <c r="Y168" s="555">
        <v>6650.35</v>
      </c>
      <c r="Z168" s="555">
        <v>6435.83</v>
      </c>
      <c r="AA168" s="555">
        <v>6650.35</v>
      </c>
      <c r="AB168" s="555"/>
      <c r="AC168" s="555"/>
      <c r="AD168" s="563">
        <v>3074.91</v>
      </c>
      <c r="AE168" s="357">
        <f>SUM(I168:AD168)</f>
        <v>107740.50000000003</v>
      </c>
      <c r="AF168" s="254"/>
      <c r="AG168" s="254">
        <f t="shared" si="18"/>
        <v>107740.50000000003</v>
      </c>
      <c r="AH168" s="240">
        <f t="shared" si="16"/>
        <v>0</v>
      </c>
    </row>
    <row r="169" spans="1:34" s="234" customFormat="1" ht="18" customHeight="1">
      <c r="A169" s="244" t="s">
        <v>330</v>
      </c>
      <c r="B169" s="245" t="s">
        <v>167</v>
      </c>
      <c r="C169" s="557"/>
      <c r="D169" s="558"/>
      <c r="E169" s="558"/>
      <c r="F169" s="605"/>
      <c r="G169" s="606"/>
      <c r="H169" s="385">
        <f t="shared" si="17"/>
        <v>0</v>
      </c>
      <c r="I169" s="575"/>
      <c r="J169" s="555"/>
      <c r="K169" s="555"/>
      <c r="L169" s="555"/>
      <c r="M169" s="555"/>
      <c r="N169" s="555"/>
      <c r="O169" s="555"/>
      <c r="P169" s="555"/>
      <c r="Q169" s="555"/>
      <c r="R169" s="555"/>
      <c r="S169" s="555"/>
      <c r="T169" s="555"/>
      <c r="U169" s="555"/>
      <c r="V169" s="555"/>
      <c r="W169" s="555"/>
      <c r="X169" s="555"/>
      <c r="Y169" s="555"/>
      <c r="Z169" s="555"/>
      <c r="AA169" s="555"/>
      <c r="AB169" s="555"/>
      <c r="AC169" s="555"/>
      <c r="AD169" s="563"/>
      <c r="AE169" s="357"/>
      <c r="AF169" s="254"/>
      <c r="AG169" s="254">
        <f t="shared" si="18"/>
        <v>0</v>
      </c>
      <c r="AH169" s="240">
        <f t="shared" si="16"/>
        <v>0</v>
      </c>
    </row>
    <row r="170" spans="1:34" s="234" customFormat="1" ht="18" customHeight="1">
      <c r="A170" s="250" t="s">
        <v>331</v>
      </c>
      <c r="B170" s="251" t="s">
        <v>332</v>
      </c>
      <c r="C170" s="566" t="s">
        <v>70</v>
      </c>
      <c r="D170" s="567">
        <v>1</v>
      </c>
      <c r="E170" s="567">
        <v>70772.66</v>
      </c>
      <c r="F170" s="605">
        <f t="shared" si="19"/>
        <v>70772.66</v>
      </c>
      <c r="G170" s="606"/>
      <c r="H170" s="385">
        <f t="shared" si="17"/>
        <v>70772.66</v>
      </c>
      <c r="I170" s="575"/>
      <c r="J170" s="562"/>
      <c r="K170" s="560"/>
      <c r="L170" s="560"/>
      <c r="M170" s="562"/>
      <c r="N170" s="562"/>
      <c r="O170" s="562"/>
      <c r="P170" s="562"/>
      <c r="Q170" s="562"/>
      <c r="R170" s="562"/>
      <c r="S170" s="562"/>
      <c r="T170" s="562"/>
      <c r="U170" s="562"/>
      <c r="V170" s="562"/>
      <c r="W170" s="562"/>
      <c r="X170" s="562"/>
      <c r="Y170" s="562"/>
      <c r="Z170" s="562"/>
      <c r="AA170" s="562">
        <v>0</v>
      </c>
      <c r="AB170" s="252">
        <v>28309.064000000002</v>
      </c>
      <c r="AC170" s="252">
        <f>28309.064</f>
        <v>28309.063999999998</v>
      </c>
      <c r="AD170" s="563">
        <v>14154.531999999999</v>
      </c>
      <c r="AE170" s="357">
        <f>SUM(I170:AD170)</f>
        <v>70772.66</v>
      </c>
      <c r="AF170" s="254"/>
      <c r="AG170" s="254">
        <f t="shared" si="18"/>
        <v>70772.66</v>
      </c>
      <c r="AH170" s="240">
        <f t="shared" si="16"/>
        <v>0</v>
      </c>
    </row>
    <row r="171" spans="1:34" s="234" customFormat="1" ht="18" customHeight="1" thickBot="1">
      <c r="A171" s="340"/>
      <c r="B171" s="251"/>
      <c r="C171" s="566"/>
      <c r="D171" s="567"/>
      <c r="E171" s="567"/>
      <c r="F171" s="610"/>
      <c r="G171" s="611"/>
      <c r="H171" s="612"/>
      <c r="I171" s="613"/>
      <c r="J171" s="568"/>
      <c r="K171" s="569"/>
      <c r="L171" s="569"/>
      <c r="M171" s="568"/>
      <c r="N171" s="568"/>
      <c r="O171" s="568"/>
      <c r="P171" s="568"/>
      <c r="Q171" s="568"/>
      <c r="R171" s="568"/>
      <c r="S171" s="568"/>
      <c r="T171" s="568"/>
      <c r="U171" s="568"/>
      <c r="V171" s="568"/>
      <c r="W171" s="568"/>
      <c r="X171" s="568"/>
      <c r="Y171" s="568"/>
      <c r="Z171" s="568"/>
      <c r="AA171" s="568"/>
      <c r="AB171" s="570"/>
      <c r="AC171" s="570"/>
      <c r="AD171" s="571"/>
      <c r="AE171" s="256"/>
      <c r="AF171" s="254"/>
      <c r="AG171" s="254">
        <f t="shared" si="18"/>
        <v>0</v>
      </c>
      <c r="AH171" s="240">
        <f t="shared" si="16"/>
        <v>0</v>
      </c>
    </row>
    <row r="172" spans="1:34" s="234" customFormat="1" ht="18" customHeight="1">
      <c r="A172" s="387"/>
      <c r="B172" s="388" t="s">
        <v>60</v>
      </c>
      <c r="C172" s="386"/>
      <c r="D172" s="386"/>
      <c r="E172" s="386"/>
      <c r="F172" s="386">
        <f>SUM(F13:F170)-0.01</f>
        <v>9094304.7000000011</v>
      </c>
      <c r="G172" s="387">
        <f>SUM(G13:G170)</f>
        <v>67468.899999999994</v>
      </c>
      <c r="H172" s="614">
        <f>SUM(H13:H170)-0.01</f>
        <v>9026835.8000000007</v>
      </c>
      <c r="I172" s="386">
        <f t="shared" ref="I172:AC172" si="21">SUM(I13:I170)</f>
        <v>237302.28999999998</v>
      </c>
      <c r="J172" s="386">
        <f t="shared" si="21"/>
        <v>315104.68000000005</v>
      </c>
      <c r="K172" s="386">
        <f t="shared" si="21"/>
        <v>379375.29</v>
      </c>
      <c r="L172" s="386">
        <f t="shared" si="21"/>
        <v>224366.78999999998</v>
      </c>
      <c r="M172" s="386">
        <f t="shared" si="21"/>
        <v>614564.11</v>
      </c>
      <c r="N172" s="386">
        <f t="shared" si="21"/>
        <v>47211.589500000002</v>
      </c>
      <c r="O172" s="386">
        <f t="shared" si="21"/>
        <v>134280.45800000001</v>
      </c>
      <c r="P172" s="386">
        <f t="shared" si="21"/>
        <v>186263.049</v>
      </c>
      <c r="Q172" s="386">
        <f t="shared" si="21"/>
        <v>344617.53399999993</v>
      </c>
      <c r="R172" s="386">
        <f t="shared" si="21"/>
        <v>351516.13150000002</v>
      </c>
      <c r="S172" s="386">
        <f t="shared" si="21"/>
        <v>414140.82799999998</v>
      </c>
      <c r="T172" s="386">
        <f t="shared" si="21"/>
        <v>534577.61800000002</v>
      </c>
      <c r="U172" s="386">
        <f t="shared" si="21"/>
        <v>391948.75700000004</v>
      </c>
      <c r="V172" s="386">
        <f>SUM(V13:V170)</f>
        <v>571865.38900000008</v>
      </c>
      <c r="W172" s="386">
        <f t="shared" si="21"/>
        <v>651385.22600000002</v>
      </c>
      <c r="X172" s="386">
        <f t="shared" si="21"/>
        <v>716545.44300000009</v>
      </c>
      <c r="Y172" s="386">
        <f t="shared" si="21"/>
        <v>668580.76399999997</v>
      </c>
      <c r="Z172" s="386">
        <f t="shared" si="21"/>
        <v>853535.01699999999</v>
      </c>
      <c r="AA172" s="386">
        <f t="shared" si="21"/>
        <v>631482.10199999996</v>
      </c>
      <c r="AB172" s="386">
        <f t="shared" si="21"/>
        <v>477234.10800000001</v>
      </c>
      <c r="AC172" s="386">
        <f t="shared" si="21"/>
        <v>146993.94400000002</v>
      </c>
      <c r="AD172" s="389">
        <f>SUM(AD13:AD170)</f>
        <v>133944.69200000001</v>
      </c>
      <c r="AE172" s="361">
        <f>SUM(I172:AD172)-0.01</f>
        <v>9026835.8000000007</v>
      </c>
      <c r="AF172" s="254"/>
      <c r="AG172" s="254">
        <f t="shared" si="18"/>
        <v>9026835.8100000005</v>
      </c>
      <c r="AH172" s="240">
        <f t="shared" si="16"/>
        <v>67468.890000000596</v>
      </c>
    </row>
    <row r="173" spans="1:34" s="234" customFormat="1" ht="18" customHeight="1">
      <c r="A173" s="390"/>
      <c r="B173" s="391" t="s">
        <v>350</v>
      </c>
      <c r="C173" s="392">
        <v>0.1166</v>
      </c>
      <c r="D173" s="346"/>
      <c r="E173" s="346"/>
      <c r="F173" s="346">
        <f t="shared" ref="F173:AE173" si="22">ROUND(F172*0.1166,2)</f>
        <v>1060395.93</v>
      </c>
      <c r="G173" s="390">
        <f t="shared" si="22"/>
        <v>7866.87</v>
      </c>
      <c r="H173" s="615">
        <f t="shared" si="22"/>
        <v>1052529.05</v>
      </c>
      <c r="I173" s="346">
        <f t="shared" si="22"/>
        <v>27669.45</v>
      </c>
      <c r="J173" s="346">
        <f t="shared" si="22"/>
        <v>36741.21</v>
      </c>
      <c r="K173" s="346">
        <f t="shared" si="22"/>
        <v>44235.16</v>
      </c>
      <c r="L173" s="346">
        <f t="shared" si="22"/>
        <v>26161.17</v>
      </c>
      <c r="M173" s="346">
        <f t="shared" si="22"/>
        <v>71658.179999999993</v>
      </c>
      <c r="N173" s="346">
        <f t="shared" si="22"/>
        <v>5504.87</v>
      </c>
      <c r="O173" s="346">
        <f t="shared" si="22"/>
        <v>15657.1</v>
      </c>
      <c r="P173" s="346">
        <f t="shared" si="22"/>
        <v>21718.27</v>
      </c>
      <c r="Q173" s="346">
        <f>ROUND(Q172*0.1166,2)</f>
        <v>40182.400000000001</v>
      </c>
      <c r="R173" s="346">
        <f>ROUND(R172*0.1166,2)</f>
        <v>40986.78</v>
      </c>
      <c r="S173" s="346">
        <f t="shared" si="22"/>
        <v>48288.82</v>
      </c>
      <c r="T173" s="346">
        <f t="shared" si="22"/>
        <v>62331.75</v>
      </c>
      <c r="U173" s="346">
        <f t="shared" si="22"/>
        <v>45701.23</v>
      </c>
      <c r="V173" s="346">
        <f>ROUND(V172*0.1166,2)</f>
        <v>66679.5</v>
      </c>
      <c r="W173" s="346">
        <f t="shared" si="22"/>
        <v>75951.520000000004</v>
      </c>
      <c r="X173" s="346">
        <f t="shared" si="22"/>
        <v>83549.2</v>
      </c>
      <c r="Y173" s="346">
        <f t="shared" si="22"/>
        <v>77956.52</v>
      </c>
      <c r="Z173" s="346">
        <f t="shared" si="22"/>
        <v>99522.18</v>
      </c>
      <c r="AA173" s="346">
        <f t="shared" si="22"/>
        <v>73630.81</v>
      </c>
      <c r="AB173" s="346">
        <f t="shared" si="22"/>
        <v>55645.5</v>
      </c>
      <c r="AC173" s="346">
        <f t="shared" si="22"/>
        <v>17139.490000000002</v>
      </c>
      <c r="AD173" s="393">
        <f t="shared" si="22"/>
        <v>15617.95</v>
      </c>
      <c r="AE173" s="359">
        <f t="shared" si="22"/>
        <v>1052529.05</v>
      </c>
      <c r="AF173" s="254"/>
      <c r="AG173" s="254">
        <f t="shared" si="18"/>
        <v>1052529.0599999998</v>
      </c>
      <c r="AH173" s="240">
        <f t="shared" si="16"/>
        <v>7866.8700000001118</v>
      </c>
    </row>
    <row r="174" spans="1:34" s="234" customFormat="1" ht="18" customHeight="1">
      <c r="A174" s="390"/>
      <c r="B174" s="391" t="s">
        <v>351</v>
      </c>
      <c r="C174" s="392">
        <v>0.1</v>
      </c>
      <c r="D174" s="346"/>
      <c r="E174" s="346"/>
      <c r="F174" s="346">
        <f t="shared" ref="F174:AE174" si="23">ROUND(0.1*F172,2)</f>
        <v>909430.47</v>
      </c>
      <c r="G174" s="390">
        <f t="shared" si="23"/>
        <v>6746.89</v>
      </c>
      <c r="H174" s="615">
        <f t="shared" si="23"/>
        <v>902683.58</v>
      </c>
      <c r="I174" s="346">
        <f t="shared" si="23"/>
        <v>23730.23</v>
      </c>
      <c r="J174" s="346">
        <f t="shared" si="23"/>
        <v>31510.47</v>
      </c>
      <c r="K174" s="346">
        <f t="shared" si="23"/>
        <v>37937.53</v>
      </c>
      <c r="L174" s="346">
        <f t="shared" si="23"/>
        <v>22436.68</v>
      </c>
      <c r="M174" s="346">
        <f t="shared" si="23"/>
        <v>61456.41</v>
      </c>
      <c r="N174" s="346">
        <f t="shared" si="23"/>
        <v>4721.16</v>
      </c>
      <c r="O174" s="346">
        <f t="shared" si="23"/>
        <v>13428.05</v>
      </c>
      <c r="P174" s="346">
        <f t="shared" si="23"/>
        <v>18626.3</v>
      </c>
      <c r="Q174" s="346">
        <f>ROUND(0.1*Q172,2)</f>
        <v>34461.75</v>
      </c>
      <c r="R174" s="346">
        <f>ROUND(0.1*R172,2)</f>
        <v>35151.61</v>
      </c>
      <c r="S174" s="346">
        <f t="shared" si="23"/>
        <v>41414.080000000002</v>
      </c>
      <c r="T174" s="346">
        <f t="shared" si="23"/>
        <v>53457.760000000002</v>
      </c>
      <c r="U174" s="346">
        <f t="shared" si="23"/>
        <v>39194.879999999997</v>
      </c>
      <c r="V174" s="346">
        <f>ROUND(0.1*V172,2)</f>
        <v>57186.54</v>
      </c>
      <c r="W174" s="346">
        <f t="shared" si="23"/>
        <v>65138.52</v>
      </c>
      <c r="X174" s="346">
        <f t="shared" si="23"/>
        <v>71654.539999999994</v>
      </c>
      <c r="Y174" s="346">
        <f t="shared" si="23"/>
        <v>66858.080000000002</v>
      </c>
      <c r="Z174" s="346">
        <f t="shared" si="23"/>
        <v>85353.5</v>
      </c>
      <c r="AA174" s="346">
        <f t="shared" si="23"/>
        <v>63148.21</v>
      </c>
      <c r="AB174" s="346">
        <f t="shared" si="23"/>
        <v>47723.41</v>
      </c>
      <c r="AC174" s="346">
        <f t="shared" si="23"/>
        <v>14699.39</v>
      </c>
      <c r="AD174" s="393">
        <f t="shared" si="23"/>
        <v>13394.47</v>
      </c>
      <c r="AE174" s="359">
        <f t="shared" si="23"/>
        <v>902683.58</v>
      </c>
      <c r="AF174" s="254"/>
      <c r="AG174" s="254">
        <f t="shared" si="18"/>
        <v>902683.57</v>
      </c>
      <c r="AH174" s="240">
        <f t="shared" si="16"/>
        <v>6746.9000000000233</v>
      </c>
    </row>
    <row r="175" spans="1:34" s="234" customFormat="1" ht="18" customHeight="1">
      <c r="A175" s="390"/>
      <c r="B175" s="391"/>
      <c r="C175" s="394"/>
      <c r="D175" s="346"/>
      <c r="E175" s="346"/>
      <c r="F175" s="346" t="s">
        <v>352</v>
      </c>
      <c r="G175" s="390" t="s">
        <v>352</v>
      </c>
      <c r="H175" s="615" t="s">
        <v>352</v>
      </c>
      <c r="I175" s="346" t="s">
        <v>352</v>
      </c>
      <c r="J175" s="346" t="s">
        <v>352</v>
      </c>
      <c r="K175" s="346" t="s">
        <v>352</v>
      </c>
      <c r="L175" s="346" t="s">
        <v>352</v>
      </c>
      <c r="M175" s="346" t="s">
        <v>352</v>
      </c>
      <c r="N175" s="346" t="s">
        <v>352</v>
      </c>
      <c r="O175" s="346" t="s">
        <v>352</v>
      </c>
      <c r="P175" s="346" t="s">
        <v>352</v>
      </c>
      <c r="Q175" s="346" t="s">
        <v>352</v>
      </c>
      <c r="R175" s="346" t="s">
        <v>352</v>
      </c>
      <c r="S175" s="346" t="s">
        <v>352</v>
      </c>
      <c r="T175" s="346" t="s">
        <v>352</v>
      </c>
      <c r="U175" s="346" t="s">
        <v>352</v>
      </c>
      <c r="V175" s="346" t="s">
        <v>352</v>
      </c>
      <c r="W175" s="346" t="s">
        <v>352</v>
      </c>
      <c r="X175" s="346" t="s">
        <v>352</v>
      </c>
      <c r="Y175" s="346" t="s">
        <v>352</v>
      </c>
      <c r="Z175" s="346" t="s">
        <v>352</v>
      </c>
      <c r="AA175" s="346" t="s">
        <v>352</v>
      </c>
      <c r="AB175" s="346" t="s">
        <v>352</v>
      </c>
      <c r="AC175" s="346" t="s">
        <v>352</v>
      </c>
      <c r="AD175" s="393" t="s">
        <v>352</v>
      </c>
      <c r="AE175" s="359" t="s">
        <v>352</v>
      </c>
      <c r="AF175" s="254"/>
      <c r="AG175" s="254">
        <f t="shared" si="18"/>
        <v>0</v>
      </c>
      <c r="AH175" s="240" t="e">
        <f t="shared" si="16"/>
        <v>#VALUE!</v>
      </c>
    </row>
    <row r="176" spans="1:34" s="234" customFormat="1" ht="18" customHeight="1">
      <c r="A176" s="390"/>
      <c r="B176" s="391" t="s">
        <v>7</v>
      </c>
      <c r="C176" s="394"/>
      <c r="D176" s="346"/>
      <c r="E176" s="346"/>
      <c r="F176" s="346">
        <f t="shared" ref="F176:AE176" si="24">F172+F174+F173</f>
        <v>11064131.100000001</v>
      </c>
      <c r="G176" s="390">
        <f t="shared" si="24"/>
        <v>82082.659999999989</v>
      </c>
      <c r="H176" s="615">
        <f t="shared" si="24"/>
        <v>10982048.430000002</v>
      </c>
      <c r="I176" s="346">
        <f t="shared" si="24"/>
        <v>288701.96999999997</v>
      </c>
      <c r="J176" s="346">
        <f t="shared" si="24"/>
        <v>383356.36000000004</v>
      </c>
      <c r="K176" s="346">
        <f t="shared" si="24"/>
        <v>461547.98</v>
      </c>
      <c r="L176" s="346">
        <f t="shared" si="24"/>
        <v>272964.63999999996</v>
      </c>
      <c r="M176" s="346">
        <f t="shared" si="24"/>
        <v>747678.7</v>
      </c>
      <c r="N176" s="346">
        <f t="shared" si="24"/>
        <v>57437.619500000008</v>
      </c>
      <c r="O176" s="346">
        <f t="shared" si="24"/>
        <v>163365.60800000001</v>
      </c>
      <c r="P176" s="346">
        <f t="shared" si="24"/>
        <v>226607.61899999998</v>
      </c>
      <c r="Q176" s="346">
        <f>Q172+Q174+Q173</f>
        <v>419261.68399999995</v>
      </c>
      <c r="R176" s="346">
        <f>R172+R174+R173</f>
        <v>427654.52150000003</v>
      </c>
      <c r="S176" s="346">
        <f t="shared" si="24"/>
        <v>503843.728</v>
      </c>
      <c r="T176" s="346">
        <f t="shared" si="24"/>
        <v>650367.12800000003</v>
      </c>
      <c r="U176" s="346">
        <f t="shared" si="24"/>
        <v>476844.86700000003</v>
      </c>
      <c r="V176" s="346">
        <f>V172+V174+V173</f>
        <v>695731.42900000012</v>
      </c>
      <c r="W176" s="346">
        <f t="shared" si="24"/>
        <v>792475.26600000006</v>
      </c>
      <c r="X176" s="346">
        <f t="shared" si="24"/>
        <v>871749.18300000008</v>
      </c>
      <c r="Y176" s="346">
        <f t="shared" si="24"/>
        <v>813395.36399999994</v>
      </c>
      <c r="Z176" s="346">
        <f t="shared" si="24"/>
        <v>1038410.6969999999</v>
      </c>
      <c r="AA176" s="346">
        <f t="shared" si="24"/>
        <v>768261.12199999997</v>
      </c>
      <c r="AB176" s="346">
        <f t="shared" si="24"/>
        <v>580603.01800000004</v>
      </c>
      <c r="AC176" s="346">
        <f t="shared" si="24"/>
        <v>178832.82400000002</v>
      </c>
      <c r="AD176" s="393">
        <f t="shared" si="24"/>
        <v>162957.11200000002</v>
      </c>
      <c r="AE176" s="359">
        <f t="shared" si="24"/>
        <v>10982048.430000002</v>
      </c>
      <c r="AF176" s="254"/>
      <c r="AG176" s="254">
        <f t="shared" si="18"/>
        <v>10982048.439999998</v>
      </c>
      <c r="AH176" s="240">
        <f t="shared" si="16"/>
        <v>82082.660000003874</v>
      </c>
    </row>
    <row r="177" spans="1:34" s="234" customFormat="1" ht="18" customHeight="1" thickBot="1">
      <c r="A177" s="395"/>
      <c r="B177" s="396"/>
      <c r="C177" s="378"/>
      <c r="D177" s="378"/>
      <c r="E177" s="378"/>
      <c r="F177" s="378"/>
      <c r="G177" s="395"/>
      <c r="H177" s="616"/>
      <c r="I177" s="378"/>
      <c r="J177" s="378"/>
      <c r="K177" s="378"/>
      <c r="L177" s="378"/>
      <c r="M177" s="378"/>
      <c r="N177" s="378"/>
      <c r="O177" s="378"/>
      <c r="P177" s="378"/>
      <c r="Q177" s="617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97"/>
      <c r="AE177" s="360"/>
      <c r="AF177" s="254"/>
      <c r="AG177" s="254">
        <f t="shared" si="18"/>
        <v>0</v>
      </c>
      <c r="AH177" s="240">
        <f t="shared" si="16"/>
        <v>0</v>
      </c>
    </row>
    <row r="178" spans="1:34" s="234" customFormat="1" ht="27" customHeight="1">
      <c r="A178" s="370" t="s">
        <v>365</v>
      </c>
      <c r="B178" s="371" t="s">
        <v>349</v>
      </c>
      <c r="C178" s="572"/>
      <c r="D178" s="573"/>
      <c r="E178" s="574"/>
      <c r="F178" s="618"/>
      <c r="G178" s="619"/>
      <c r="H178" s="620"/>
      <c r="I178" s="575"/>
      <c r="J178" s="562"/>
      <c r="K178" s="560"/>
      <c r="L178" s="560"/>
      <c r="M178" s="562"/>
      <c r="N178" s="562"/>
      <c r="O178" s="562"/>
      <c r="P178" s="562"/>
      <c r="Q178" s="562"/>
      <c r="R178" s="562"/>
      <c r="S178" s="562"/>
      <c r="T178" s="562"/>
      <c r="U178" s="562"/>
      <c r="V178" s="562"/>
      <c r="W178" s="562"/>
      <c r="X178" s="562"/>
      <c r="Y178" s="562"/>
      <c r="Z178" s="562"/>
      <c r="AA178" s="562"/>
      <c r="AB178" s="252"/>
      <c r="AC178" s="252"/>
      <c r="AD178" s="562"/>
      <c r="AE178" s="253"/>
      <c r="AF178" s="254"/>
      <c r="AG178" s="254">
        <f t="shared" si="18"/>
        <v>0</v>
      </c>
      <c r="AH178" s="240">
        <f t="shared" si="16"/>
        <v>0</v>
      </c>
    </row>
    <row r="179" spans="1:34" s="234" customFormat="1" ht="18" customHeight="1">
      <c r="A179" s="238"/>
      <c r="B179" s="341" t="s">
        <v>366</v>
      </c>
      <c r="C179" s="576" t="s">
        <v>70</v>
      </c>
      <c r="D179" s="577">
        <v>1</v>
      </c>
      <c r="E179" s="578">
        <v>722684.69</v>
      </c>
      <c r="F179" s="621">
        <v>722684.69</v>
      </c>
      <c r="G179" s="622">
        <v>0</v>
      </c>
      <c r="H179" s="623">
        <v>722684.69</v>
      </c>
      <c r="I179" s="575">
        <v>0</v>
      </c>
      <c r="J179" s="562">
        <v>0</v>
      </c>
      <c r="K179" s="560">
        <v>0</v>
      </c>
      <c r="L179" s="560">
        <v>45167.816874999997</v>
      </c>
      <c r="M179" s="562">
        <v>45167.816874999997</v>
      </c>
      <c r="P179" s="562">
        <v>45167.816874999997</v>
      </c>
      <c r="Q179" s="562">
        <v>45167.816874999997</v>
      </c>
      <c r="R179" s="562">
        <v>45167.816874999997</v>
      </c>
      <c r="S179" s="562">
        <v>45167.816874999997</v>
      </c>
      <c r="T179" s="562">
        <v>45167.816874999997</v>
      </c>
      <c r="U179" s="562">
        <v>45167.816874999997</v>
      </c>
      <c r="V179" s="562">
        <v>0</v>
      </c>
      <c r="W179" s="562">
        <v>45167.816874999997</v>
      </c>
      <c r="X179" s="562">
        <v>45167.816874999997</v>
      </c>
      <c r="Y179" s="562">
        <v>45167.816874999997</v>
      </c>
      <c r="Z179" s="562">
        <v>45167.816874999997</v>
      </c>
      <c r="AA179" s="562">
        <v>45167.816874999997</v>
      </c>
      <c r="AB179" s="255">
        <f>45167.816875</f>
        <v>45167.816874999997</v>
      </c>
      <c r="AC179" s="255">
        <v>45167.816874999997</v>
      </c>
      <c r="AD179" s="562">
        <f>45167.816875-0.38</f>
        <v>45167.436874999999</v>
      </c>
      <c r="AE179" s="357">
        <f>SUM(I179:AD179)</f>
        <v>722684.69000000018</v>
      </c>
      <c r="AF179" s="254"/>
      <c r="AG179" s="254">
        <f t="shared" si="18"/>
        <v>722684.69000000018</v>
      </c>
      <c r="AH179" s="240">
        <f t="shared" si="16"/>
        <v>0</v>
      </c>
    </row>
    <row r="180" spans="1:34" s="234" customFormat="1" ht="18" customHeight="1">
      <c r="A180" s="250"/>
      <c r="B180" s="347"/>
      <c r="C180" s="579"/>
      <c r="D180" s="580"/>
      <c r="E180" s="567"/>
      <c r="F180" s="624"/>
      <c r="G180" s="625"/>
      <c r="H180" s="342"/>
      <c r="I180" s="581"/>
      <c r="J180" s="582"/>
      <c r="K180" s="583"/>
      <c r="L180" s="583"/>
      <c r="M180" s="582"/>
      <c r="N180" s="582"/>
      <c r="O180" s="582"/>
      <c r="P180" s="582"/>
      <c r="Q180" s="582"/>
      <c r="R180" s="582"/>
      <c r="S180" s="582"/>
      <c r="T180" s="582"/>
      <c r="U180" s="582"/>
      <c r="V180" s="582"/>
      <c r="W180" s="582"/>
      <c r="X180" s="582"/>
      <c r="Y180" s="582"/>
      <c r="Z180" s="582"/>
      <c r="AA180" s="582"/>
      <c r="AB180" s="348"/>
      <c r="AC180" s="348"/>
      <c r="AD180" s="582"/>
      <c r="AE180" s="256"/>
      <c r="AF180" s="254"/>
      <c r="AG180" s="254">
        <f t="shared" si="18"/>
        <v>0</v>
      </c>
      <c r="AH180" s="240">
        <f t="shared" si="16"/>
        <v>0</v>
      </c>
    </row>
    <row r="181" spans="1:34" s="234" customFormat="1" ht="6.75" customHeight="1" thickBot="1">
      <c r="A181" s="372"/>
      <c r="B181" s="373"/>
      <c r="C181" s="375"/>
      <c r="D181" s="362"/>
      <c r="E181" s="374"/>
      <c r="F181" s="626"/>
      <c r="G181" s="627"/>
      <c r="H181" s="628"/>
      <c r="I181" s="363"/>
      <c r="J181" s="364"/>
      <c r="K181" s="364"/>
      <c r="L181" s="364"/>
      <c r="M181" s="364"/>
      <c r="N181" s="364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4"/>
      <c r="AB181" s="366"/>
      <c r="AC181" s="366"/>
      <c r="AD181" s="364"/>
      <c r="AE181" s="367"/>
      <c r="AF181" s="259"/>
      <c r="AG181" s="254">
        <f t="shared" si="18"/>
        <v>0</v>
      </c>
      <c r="AH181" s="240">
        <f t="shared" si="16"/>
        <v>0</v>
      </c>
    </row>
    <row r="182" spans="1:34" s="227" customFormat="1">
      <c r="A182" s="260"/>
      <c r="B182" s="267" t="s">
        <v>60</v>
      </c>
      <c r="C182" s="268"/>
      <c r="D182" s="268"/>
      <c r="E182" s="268"/>
      <c r="F182" s="346">
        <f t="shared" ref="F182:AD182" si="25">+F179</f>
        <v>722684.69</v>
      </c>
      <c r="G182" s="387"/>
      <c r="H182" s="614">
        <f>+H179</f>
        <v>722684.69</v>
      </c>
      <c r="I182" s="346">
        <f t="shared" si="25"/>
        <v>0</v>
      </c>
      <c r="J182" s="346">
        <f t="shared" si="25"/>
        <v>0</v>
      </c>
      <c r="K182" s="346">
        <f t="shared" si="25"/>
        <v>0</v>
      </c>
      <c r="L182" s="346">
        <f t="shared" si="25"/>
        <v>45167.816874999997</v>
      </c>
      <c r="M182" s="346">
        <f t="shared" si="25"/>
        <v>45167.816874999997</v>
      </c>
      <c r="N182" s="346">
        <f>+N179</f>
        <v>0</v>
      </c>
      <c r="O182" s="346">
        <f>+O179</f>
        <v>0</v>
      </c>
      <c r="P182" s="346">
        <f>+P179</f>
        <v>45167.816874999997</v>
      </c>
      <c r="Q182" s="346">
        <f>+Q179</f>
        <v>45167.816874999997</v>
      </c>
      <c r="R182" s="346">
        <f>+R179</f>
        <v>45167.816874999997</v>
      </c>
      <c r="S182" s="346">
        <f t="shared" si="25"/>
        <v>45167.816874999997</v>
      </c>
      <c r="T182" s="346">
        <f t="shared" si="25"/>
        <v>45167.816874999997</v>
      </c>
      <c r="U182" s="346">
        <f t="shared" si="25"/>
        <v>45167.816874999997</v>
      </c>
      <c r="V182" s="346">
        <v>0</v>
      </c>
      <c r="W182" s="346">
        <f t="shared" si="25"/>
        <v>45167.816874999997</v>
      </c>
      <c r="X182" s="346">
        <f t="shared" si="25"/>
        <v>45167.816874999997</v>
      </c>
      <c r="Y182" s="346">
        <f t="shared" si="25"/>
        <v>45167.816874999997</v>
      </c>
      <c r="Z182" s="346">
        <f t="shared" si="25"/>
        <v>45167.816874999997</v>
      </c>
      <c r="AA182" s="346">
        <f t="shared" si="25"/>
        <v>45167.816874999997</v>
      </c>
      <c r="AB182" s="346">
        <f t="shared" si="25"/>
        <v>45167.816874999997</v>
      </c>
      <c r="AC182" s="346">
        <f t="shared" si="25"/>
        <v>45167.816874999997</v>
      </c>
      <c r="AD182" s="346">
        <f t="shared" si="25"/>
        <v>45167.436874999999</v>
      </c>
      <c r="AE182" s="361">
        <f>SUM(I182:AD182)</f>
        <v>722684.69000000018</v>
      </c>
      <c r="AF182" s="264"/>
      <c r="AG182" s="254">
        <f t="shared" si="18"/>
        <v>722684.69000000018</v>
      </c>
      <c r="AH182" s="240">
        <f t="shared" si="16"/>
        <v>0</v>
      </c>
    </row>
    <row r="183" spans="1:34" s="227" customFormat="1">
      <c r="A183" s="266"/>
      <c r="B183" s="267" t="s">
        <v>369</v>
      </c>
      <c r="C183" s="349">
        <v>0.1166</v>
      </c>
      <c r="D183" s="268"/>
      <c r="E183" s="268"/>
      <c r="F183" s="346">
        <f t="shared" ref="F183:AE183" si="26">ROUND(F182*0.11659902,2)</f>
        <v>84264.33</v>
      </c>
      <c r="G183" s="390"/>
      <c r="H183" s="615">
        <f>ROUND(H182*0.11659902,2)</f>
        <v>84264.33</v>
      </c>
      <c r="I183" s="346">
        <f t="shared" si="26"/>
        <v>0</v>
      </c>
      <c r="J183" s="346">
        <f t="shared" si="26"/>
        <v>0</v>
      </c>
      <c r="K183" s="346">
        <f t="shared" si="26"/>
        <v>0</v>
      </c>
      <c r="L183" s="346">
        <f t="shared" si="26"/>
        <v>5266.52</v>
      </c>
      <c r="M183" s="346">
        <f t="shared" si="26"/>
        <v>5266.52</v>
      </c>
      <c r="N183" s="346">
        <f t="shared" si="26"/>
        <v>0</v>
      </c>
      <c r="O183" s="346">
        <f t="shared" si="26"/>
        <v>0</v>
      </c>
      <c r="P183" s="346">
        <f t="shared" si="26"/>
        <v>5266.52</v>
      </c>
      <c r="Q183" s="346">
        <f>ROUND(Q182*0.11659902,2)</f>
        <v>5266.52</v>
      </c>
      <c r="R183" s="346">
        <f>ROUND(R182*0.11659902,2)</f>
        <v>5266.52</v>
      </c>
      <c r="S183" s="346">
        <f t="shared" si="26"/>
        <v>5266.52</v>
      </c>
      <c r="T183" s="346">
        <f t="shared" si="26"/>
        <v>5266.52</v>
      </c>
      <c r="U183" s="346">
        <f t="shared" si="26"/>
        <v>5266.52</v>
      </c>
      <c r="V183" s="346">
        <v>0</v>
      </c>
      <c r="W183" s="346">
        <f t="shared" si="26"/>
        <v>5266.52</v>
      </c>
      <c r="X183" s="346">
        <f t="shared" si="26"/>
        <v>5266.52</v>
      </c>
      <c r="Y183" s="346">
        <f t="shared" si="26"/>
        <v>5266.52</v>
      </c>
      <c r="Z183" s="346">
        <f t="shared" si="26"/>
        <v>5266.52</v>
      </c>
      <c r="AA183" s="346">
        <f t="shared" si="26"/>
        <v>5266.52</v>
      </c>
      <c r="AB183" s="346">
        <f t="shared" si="26"/>
        <v>5266.52</v>
      </c>
      <c r="AC183" s="346">
        <f t="shared" si="26"/>
        <v>5266.52</v>
      </c>
      <c r="AD183" s="346">
        <f t="shared" si="26"/>
        <v>5266.48</v>
      </c>
      <c r="AE183" s="368">
        <f t="shared" si="26"/>
        <v>84264.33</v>
      </c>
      <c r="AF183" s="264"/>
      <c r="AG183" s="254">
        <f t="shared" si="18"/>
        <v>84264.280000000028</v>
      </c>
      <c r="AH183" s="240">
        <f t="shared" si="16"/>
        <v>4.9999999973806553E-2</v>
      </c>
    </row>
    <row r="184" spans="1:34" s="227" customFormat="1">
      <c r="A184" s="266"/>
      <c r="B184" s="267" t="s">
        <v>351</v>
      </c>
      <c r="C184" s="349">
        <v>0.1</v>
      </c>
      <c r="D184" s="268"/>
      <c r="E184" s="268"/>
      <c r="F184" s="346">
        <f t="shared" ref="F184:AE184" si="27">ROUND(0.1*F182,2)</f>
        <v>72268.47</v>
      </c>
      <c r="G184" s="390"/>
      <c r="H184" s="615">
        <f>ROUND(0.1*H182,2)</f>
        <v>72268.47</v>
      </c>
      <c r="I184" s="346">
        <f t="shared" si="27"/>
        <v>0</v>
      </c>
      <c r="J184" s="346">
        <f t="shared" si="27"/>
        <v>0</v>
      </c>
      <c r="K184" s="346">
        <f t="shared" si="27"/>
        <v>0</v>
      </c>
      <c r="L184" s="346">
        <f t="shared" si="27"/>
        <v>4516.78</v>
      </c>
      <c r="M184" s="346">
        <f t="shared" si="27"/>
        <v>4516.78</v>
      </c>
      <c r="N184" s="346">
        <f t="shared" si="27"/>
        <v>0</v>
      </c>
      <c r="O184" s="346">
        <f t="shared" si="27"/>
        <v>0</v>
      </c>
      <c r="P184" s="346">
        <f t="shared" si="27"/>
        <v>4516.78</v>
      </c>
      <c r="Q184" s="346">
        <f>ROUND(0.1*Q182,2)</f>
        <v>4516.78</v>
      </c>
      <c r="R184" s="346">
        <f>ROUND(0.1*R182,2)</f>
        <v>4516.78</v>
      </c>
      <c r="S184" s="346">
        <f t="shared" si="27"/>
        <v>4516.78</v>
      </c>
      <c r="T184" s="346">
        <f t="shared" si="27"/>
        <v>4516.78</v>
      </c>
      <c r="U184" s="346">
        <f t="shared" si="27"/>
        <v>4516.78</v>
      </c>
      <c r="V184" s="346">
        <v>0</v>
      </c>
      <c r="W184" s="346">
        <f t="shared" si="27"/>
        <v>4516.78</v>
      </c>
      <c r="X184" s="346">
        <f t="shared" si="27"/>
        <v>4516.78</v>
      </c>
      <c r="Y184" s="346">
        <f t="shared" si="27"/>
        <v>4516.78</v>
      </c>
      <c r="Z184" s="346">
        <f t="shared" si="27"/>
        <v>4516.78</v>
      </c>
      <c r="AA184" s="346">
        <f t="shared" si="27"/>
        <v>4516.78</v>
      </c>
      <c r="AB184" s="346">
        <f t="shared" si="27"/>
        <v>4516.78</v>
      </c>
      <c r="AC184" s="346">
        <f t="shared" si="27"/>
        <v>4516.78</v>
      </c>
      <c r="AD184" s="346">
        <f t="shared" si="27"/>
        <v>4516.74</v>
      </c>
      <c r="AE184" s="368">
        <f t="shared" si="27"/>
        <v>72268.47</v>
      </c>
      <c r="AF184" s="264"/>
      <c r="AG184" s="254">
        <f t="shared" si="18"/>
        <v>72268.44</v>
      </c>
      <c r="AH184" s="240">
        <f t="shared" si="16"/>
        <v>2.9999999998835847E-2</v>
      </c>
    </row>
    <row r="185" spans="1:34" s="227" customFormat="1">
      <c r="A185" s="266"/>
      <c r="B185" s="267"/>
      <c r="C185" s="350"/>
      <c r="D185" s="268"/>
      <c r="E185" s="268"/>
      <c r="F185" s="346" t="s">
        <v>352</v>
      </c>
      <c r="G185" s="390"/>
      <c r="H185" s="615" t="s">
        <v>352</v>
      </c>
      <c r="I185" s="346" t="s">
        <v>352</v>
      </c>
      <c r="J185" s="346" t="s">
        <v>352</v>
      </c>
      <c r="K185" s="346" t="s">
        <v>352</v>
      </c>
      <c r="L185" s="346" t="s">
        <v>352</v>
      </c>
      <c r="M185" s="346" t="s">
        <v>352</v>
      </c>
      <c r="N185" s="346" t="s">
        <v>352</v>
      </c>
      <c r="O185" s="346" t="s">
        <v>352</v>
      </c>
      <c r="P185" s="346" t="s">
        <v>352</v>
      </c>
      <c r="Q185" s="346" t="s">
        <v>352</v>
      </c>
      <c r="R185" s="346" t="s">
        <v>352</v>
      </c>
      <c r="S185" s="346" t="s">
        <v>352</v>
      </c>
      <c r="T185" s="346" t="s">
        <v>352</v>
      </c>
      <c r="U185" s="346" t="s">
        <v>352</v>
      </c>
      <c r="V185" s="346">
        <v>0</v>
      </c>
      <c r="W185" s="346" t="s">
        <v>352</v>
      </c>
      <c r="X185" s="346" t="s">
        <v>352</v>
      </c>
      <c r="Y185" s="346" t="s">
        <v>352</v>
      </c>
      <c r="Z185" s="346" t="s">
        <v>352</v>
      </c>
      <c r="AA185" s="346" t="s">
        <v>352</v>
      </c>
      <c r="AB185" s="346" t="s">
        <v>352</v>
      </c>
      <c r="AC185" s="346" t="s">
        <v>352</v>
      </c>
      <c r="AD185" s="346" t="s">
        <v>352</v>
      </c>
      <c r="AE185" s="368" t="s">
        <v>352</v>
      </c>
      <c r="AF185" s="264"/>
      <c r="AG185" s="254">
        <f t="shared" si="18"/>
        <v>0</v>
      </c>
      <c r="AH185" s="240" t="e">
        <f t="shared" si="16"/>
        <v>#VALUE!</v>
      </c>
    </row>
    <row r="186" spans="1:34" s="227" customFormat="1">
      <c r="A186" s="266"/>
      <c r="B186" s="267" t="s">
        <v>7</v>
      </c>
      <c r="C186" s="351"/>
      <c r="D186" s="268"/>
      <c r="E186" s="268"/>
      <c r="F186" s="346">
        <f>F182+F184+F183-0.01</f>
        <v>879217.47999999986</v>
      </c>
      <c r="G186" s="390"/>
      <c r="H186" s="615">
        <f>H182+H184+H183-0.01</f>
        <v>879217.47999999986</v>
      </c>
      <c r="I186" s="346">
        <f t="shared" ref="I186:AE186" si="28">I182+I184+I183</f>
        <v>0</v>
      </c>
      <c r="J186" s="346">
        <f t="shared" si="28"/>
        <v>0</v>
      </c>
      <c r="K186" s="346">
        <f t="shared" si="28"/>
        <v>0</v>
      </c>
      <c r="L186" s="346">
        <f t="shared" si="28"/>
        <v>54951.116874999992</v>
      </c>
      <c r="M186" s="346">
        <f t="shared" si="28"/>
        <v>54951.116874999992</v>
      </c>
      <c r="N186" s="346">
        <f t="shared" si="28"/>
        <v>0</v>
      </c>
      <c r="O186" s="346">
        <f t="shared" si="28"/>
        <v>0</v>
      </c>
      <c r="P186" s="346">
        <f t="shared" si="28"/>
        <v>54951.116874999992</v>
      </c>
      <c r="Q186" s="346">
        <f>Q182+Q184+Q183</f>
        <v>54951.116874999992</v>
      </c>
      <c r="R186" s="346">
        <f>R182+R184+R183</f>
        <v>54951.116874999992</v>
      </c>
      <c r="S186" s="346">
        <f t="shared" si="28"/>
        <v>54951.116874999992</v>
      </c>
      <c r="T186" s="346">
        <f t="shared" si="28"/>
        <v>54951.116874999992</v>
      </c>
      <c r="U186" s="346">
        <f t="shared" si="28"/>
        <v>54951.116874999992</v>
      </c>
      <c r="V186" s="346">
        <v>0</v>
      </c>
      <c r="W186" s="346">
        <f t="shared" si="28"/>
        <v>54951.116874999992</v>
      </c>
      <c r="X186" s="346">
        <f t="shared" si="28"/>
        <v>54951.116874999992</v>
      </c>
      <c r="Y186" s="346">
        <f t="shared" si="28"/>
        <v>54951.116874999992</v>
      </c>
      <c r="Z186" s="346">
        <f t="shared" si="28"/>
        <v>54951.116874999992</v>
      </c>
      <c r="AA186" s="346">
        <f t="shared" si="28"/>
        <v>54951.116874999992</v>
      </c>
      <c r="AB186" s="346">
        <f t="shared" si="28"/>
        <v>54951.116874999992</v>
      </c>
      <c r="AC186" s="346">
        <f t="shared" si="28"/>
        <v>54951.116874999992</v>
      </c>
      <c r="AD186" s="346">
        <f t="shared" si="28"/>
        <v>54950.656875000001</v>
      </c>
      <c r="AE186" s="368">
        <f t="shared" si="28"/>
        <v>879217.49000000011</v>
      </c>
      <c r="AF186" s="264"/>
      <c r="AG186" s="254">
        <f t="shared" si="18"/>
        <v>879217.40999999968</v>
      </c>
      <c r="AH186" s="240">
        <f t="shared" si="16"/>
        <v>7.0000000181607902E-2</v>
      </c>
    </row>
    <row r="187" spans="1:34" s="227" customFormat="1" ht="5.25" customHeight="1" thickBot="1">
      <c r="A187" s="270"/>
      <c r="B187" s="271"/>
      <c r="C187" s="272"/>
      <c r="D187" s="272"/>
      <c r="E187" s="272"/>
      <c r="F187" s="273"/>
      <c r="G187" s="629"/>
      <c r="H187" s="630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369"/>
      <c r="AF187" s="264"/>
      <c r="AG187" s="254">
        <f t="shared" si="18"/>
        <v>0</v>
      </c>
      <c r="AH187" s="240">
        <f t="shared" si="16"/>
        <v>0</v>
      </c>
    </row>
    <row r="188" spans="1:34" s="234" customFormat="1" ht="18" customHeight="1">
      <c r="A188" s="370" t="s">
        <v>364</v>
      </c>
      <c r="B188" s="371" t="s">
        <v>353</v>
      </c>
      <c r="C188" s="572"/>
      <c r="D188" s="584"/>
      <c r="E188" s="574"/>
      <c r="F188" s="631"/>
      <c r="G188" s="619"/>
      <c r="H188" s="620"/>
      <c r="I188" s="632"/>
      <c r="J188" s="585"/>
      <c r="K188" s="586"/>
      <c r="L188" s="586"/>
      <c r="M188" s="585"/>
      <c r="N188" s="587"/>
      <c r="O188" s="587"/>
      <c r="P188" s="587"/>
      <c r="Q188" s="587"/>
      <c r="R188" s="587"/>
      <c r="S188" s="587"/>
      <c r="T188" s="587"/>
      <c r="U188" s="587"/>
      <c r="V188" s="587"/>
      <c r="W188" s="587"/>
      <c r="X188" s="587"/>
      <c r="Y188" s="587"/>
      <c r="Z188" s="587"/>
      <c r="AA188" s="587"/>
      <c r="AB188" s="274"/>
      <c r="AC188" s="274"/>
      <c r="AD188" s="588"/>
      <c r="AE188" s="377"/>
      <c r="AF188" s="254"/>
      <c r="AG188" s="254">
        <f t="shared" si="18"/>
        <v>0</v>
      </c>
      <c r="AH188" s="240">
        <f t="shared" si="16"/>
        <v>0</v>
      </c>
    </row>
    <row r="189" spans="1:34" s="234" customFormat="1" ht="18" customHeight="1" thickBot="1">
      <c r="A189" s="257"/>
      <c r="B189" s="376" t="s">
        <v>354</v>
      </c>
      <c r="C189" s="589" t="s">
        <v>70</v>
      </c>
      <c r="D189" s="590">
        <v>1</v>
      </c>
      <c r="E189" s="591">
        <v>338195</v>
      </c>
      <c r="F189" s="633">
        <v>338195</v>
      </c>
      <c r="G189" s="634"/>
      <c r="H189" s="258">
        <v>338195</v>
      </c>
      <c r="I189" s="575">
        <v>17789.004400000002</v>
      </c>
      <c r="J189" s="562">
        <v>17789.004400000002</v>
      </c>
      <c r="K189" s="560">
        <v>5116.8999999999996</v>
      </c>
      <c r="L189" s="560">
        <v>17789.004400000002</v>
      </c>
      <c r="M189" s="562">
        <v>17789.004400000002</v>
      </c>
      <c r="P189" s="568">
        <v>17789.004400000002</v>
      </c>
      <c r="Q189" s="568">
        <v>17789.004400000002</v>
      </c>
      <c r="R189" s="568">
        <v>17789.004400000002</v>
      </c>
      <c r="S189" s="568">
        <v>17789.004400000002</v>
      </c>
      <c r="T189" s="568">
        <v>17789.004400000002</v>
      </c>
      <c r="U189" s="568">
        <v>17789.004400000002</v>
      </c>
      <c r="V189" s="568">
        <v>8894.5022000000008</v>
      </c>
      <c r="W189" s="568">
        <v>8894.5022000000008</v>
      </c>
      <c r="X189" s="568">
        <v>17789.004400000002</v>
      </c>
      <c r="Y189" s="568">
        <v>17789.004400000002</v>
      </c>
      <c r="Z189" s="568">
        <v>17789.004400000002</v>
      </c>
      <c r="AA189" s="568">
        <v>20291.64</v>
      </c>
      <c r="AB189" s="275">
        <f>20291.64</f>
        <v>20291.64</v>
      </c>
      <c r="AC189" s="275">
        <v>23674.58</v>
      </c>
      <c r="AD189" s="592">
        <v>19774.178400000001</v>
      </c>
      <c r="AE189" s="357">
        <f>SUM(I189:AD189)</f>
        <v>338195.00000000006</v>
      </c>
      <c r="AF189" s="254"/>
      <c r="AG189" s="254">
        <f t="shared" si="18"/>
        <v>338195.00000000006</v>
      </c>
      <c r="AH189" s="240">
        <f t="shared" si="16"/>
        <v>0</v>
      </c>
    </row>
    <row r="190" spans="1:34" s="227" customFormat="1">
      <c r="A190" s="260"/>
      <c r="B190" s="261" t="s">
        <v>60</v>
      </c>
      <c r="C190" s="262"/>
      <c r="D190" s="262"/>
      <c r="E190" s="262"/>
      <c r="F190" s="263">
        <f t="shared" ref="F190:AD190" si="29">+F189</f>
        <v>338195</v>
      </c>
      <c r="G190" s="635"/>
      <c r="H190" s="636">
        <f>+H189</f>
        <v>338195</v>
      </c>
      <c r="I190" s="263">
        <f t="shared" si="29"/>
        <v>17789.004400000002</v>
      </c>
      <c r="J190" s="263">
        <f t="shared" si="29"/>
        <v>17789.004400000002</v>
      </c>
      <c r="K190" s="263">
        <f t="shared" si="29"/>
        <v>5116.8999999999996</v>
      </c>
      <c r="L190" s="263">
        <f t="shared" si="29"/>
        <v>17789.004400000002</v>
      </c>
      <c r="M190" s="263">
        <f t="shared" si="29"/>
        <v>17789.004400000002</v>
      </c>
      <c r="N190" s="263">
        <f>+N189</f>
        <v>0</v>
      </c>
      <c r="O190" s="263">
        <f>+O189</f>
        <v>0</v>
      </c>
      <c r="P190" s="263">
        <f>+P189</f>
        <v>17789.004400000002</v>
      </c>
      <c r="Q190" s="263">
        <f>+Q189</f>
        <v>17789.004400000002</v>
      </c>
      <c r="R190" s="263">
        <f>+R189</f>
        <v>17789.004400000002</v>
      </c>
      <c r="S190" s="263">
        <f t="shared" si="29"/>
        <v>17789.004400000002</v>
      </c>
      <c r="T190" s="263">
        <f t="shared" si="29"/>
        <v>17789.004400000002</v>
      </c>
      <c r="U190" s="263">
        <f t="shared" si="29"/>
        <v>17789.004400000002</v>
      </c>
      <c r="V190" s="263">
        <f>+V189</f>
        <v>8894.5022000000008</v>
      </c>
      <c r="W190" s="263">
        <f t="shared" si="29"/>
        <v>8894.5022000000008</v>
      </c>
      <c r="X190" s="263">
        <f t="shared" si="29"/>
        <v>17789.004400000002</v>
      </c>
      <c r="Y190" s="263">
        <f t="shared" si="29"/>
        <v>17789.004400000002</v>
      </c>
      <c r="Z190" s="263">
        <f t="shared" si="29"/>
        <v>17789.004400000002</v>
      </c>
      <c r="AA190" s="263">
        <f t="shared" si="29"/>
        <v>20291.64</v>
      </c>
      <c r="AB190" s="263">
        <f t="shared" si="29"/>
        <v>20291.64</v>
      </c>
      <c r="AC190" s="263">
        <f t="shared" si="29"/>
        <v>23674.58</v>
      </c>
      <c r="AD190" s="263">
        <f t="shared" si="29"/>
        <v>19774.178400000001</v>
      </c>
      <c r="AE190" s="361">
        <f>SUM(I190:AD190)</f>
        <v>338195.00000000006</v>
      </c>
      <c r="AF190" s="264"/>
      <c r="AG190" s="332"/>
      <c r="AH190" s="265"/>
    </row>
    <row r="191" spans="1:34" s="227" customFormat="1">
      <c r="A191" s="266"/>
      <c r="B191" s="267" t="s">
        <v>355</v>
      </c>
      <c r="C191" s="349">
        <v>0.08</v>
      </c>
      <c r="D191" s="268"/>
      <c r="E191" s="268"/>
      <c r="F191" s="346">
        <f t="shared" ref="F191:AE191" si="30">ROUND(F190*0.08,2)</f>
        <v>27055.599999999999</v>
      </c>
      <c r="G191" s="390"/>
      <c r="H191" s="615">
        <f>ROUND(H190*0.08,2)</f>
        <v>27055.599999999999</v>
      </c>
      <c r="I191" s="346">
        <f t="shared" si="30"/>
        <v>1423.12</v>
      </c>
      <c r="J191" s="346">
        <f t="shared" si="30"/>
        <v>1423.12</v>
      </c>
      <c r="K191" s="346">
        <f t="shared" si="30"/>
        <v>409.35</v>
      </c>
      <c r="L191" s="346">
        <f t="shared" si="30"/>
        <v>1423.12</v>
      </c>
      <c r="M191" s="346">
        <f t="shared" si="30"/>
        <v>1423.12</v>
      </c>
      <c r="N191" s="346">
        <f t="shared" si="30"/>
        <v>0</v>
      </c>
      <c r="O191" s="346">
        <f t="shared" si="30"/>
        <v>0</v>
      </c>
      <c r="P191" s="346">
        <f t="shared" si="30"/>
        <v>1423.12</v>
      </c>
      <c r="Q191" s="346">
        <f>ROUND(Q190*0.08,2)</f>
        <v>1423.12</v>
      </c>
      <c r="R191" s="346">
        <f>ROUND(R190*0.08,2)</f>
        <v>1423.12</v>
      </c>
      <c r="S191" s="346">
        <f t="shared" si="30"/>
        <v>1423.12</v>
      </c>
      <c r="T191" s="346">
        <f t="shared" si="30"/>
        <v>1423.12</v>
      </c>
      <c r="U191" s="346">
        <f t="shared" si="30"/>
        <v>1423.12</v>
      </c>
      <c r="V191" s="346">
        <f>ROUND(V190*0.08,2)</f>
        <v>711.56</v>
      </c>
      <c r="W191" s="346">
        <f t="shared" si="30"/>
        <v>711.56</v>
      </c>
      <c r="X191" s="346">
        <f t="shared" si="30"/>
        <v>1423.12</v>
      </c>
      <c r="Y191" s="346">
        <f t="shared" si="30"/>
        <v>1423.12</v>
      </c>
      <c r="Z191" s="346">
        <f t="shared" si="30"/>
        <v>1423.12</v>
      </c>
      <c r="AA191" s="346">
        <f t="shared" si="30"/>
        <v>1623.33</v>
      </c>
      <c r="AB191" s="346">
        <f t="shared" si="30"/>
        <v>1623.33</v>
      </c>
      <c r="AC191" s="346">
        <f t="shared" si="30"/>
        <v>1893.97</v>
      </c>
      <c r="AD191" s="346">
        <f t="shared" si="30"/>
        <v>1581.93</v>
      </c>
      <c r="AE191" s="368">
        <f t="shared" si="30"/>
        <v>27055.599999999999</v>
      </c>
      <c r="AF191" s="264"/>
      <c r="AG191" s="332"/>
      <c r="AH191" s="265"/>
    </row>
    <row r="192" spans="1:34" s="227" customFormat="1">
      <c r="A192" s="266"/>
      <c r="B192" s="267" t="s">
        <v>351</v>
      </c>
      <c r="C192" s="349">
        <v>0.1</v>
      </c>
      <c r="D192" s="268"/>
      <c r="E192" s="268"/>
      <c r="F192" s="346">
        <f t="shared" ref="F192:AE192" si="31">ROUND(0.1*F190,2)</f>
        <v>33819.5</v>
      </c>
      <c r="G192" s="390"/>
      <c r="H192" s="615">
        <f>ROUND(0.1*H190,2)</f>
        <v>33819.5</v>
      </c>
      <c r="I192" s="346">
        <f t="shared" si="31"/>
        <v>1778.9</v>
      </c>
      <c r="J192" s="346">
        <f t="shared" si="31"/>
        <v>1778.9</v>
      </c>
      <c r="K192" s="346">
        <f t="shared" si="31"/>
        <v>511.69</v>
      </c>
      <c r="L192" s="346">
        <f t="shared" si="31"/>
        <v>1778.9</v>
      </c>
      <c r="M192" s="346">
        <f t="shared" si="31"/>
        <v>1778.9</v>
      </c>
      <c r="N192" s="346">
        <f t="shared" si="31"/>
        <v>0</v>
      </c>
      <c r="O192" s="346">
        <f t="shared" si="31"/>
        <v>0</v>
      </c>
      <c r="P192" s="346">
        <f t="shared" si="31"/>
        <v>1778.9</v>
      </c>
      <c r="Q192" s="346">
        <f>ROUND(0.1*Q190,2)</f>
        <v>1778.9</v>
      </c>
      <c r="R192" s="346">
        <f>ROUND(0.1*R190,2)</f>
        <v>1778.9</v>
      </c>
      <c r="S192" s="346">
        <f t="shared" si="31"/>
        <v>1778.9</v>
      </c>
      <c r="T192" s="346">
        <f t="shared" si="31"/>
        <v>1778.9</v>
      </c>
      <c r="U192" s="346">
        <f t="shared" si="31"/>
        <v>1778.9</v>
      </c>
      <c r="V192" s="346">
        <f>ROUND(0.1*V190,2)</f>
        <v>889.45</v>
      </c>
      <c r="W192" s="346">
        <f t="shared" si="31"/>
        <v>889.45</v>
      </c>
      <c r="X192" s="346">
        <f t="shared" si="31"/>
        <v>1778.9</v>
      </c>
      <c r="Y192" s="346">
        <f t="shared" si="31"/>
        <v>1778.9</v>
      </c>
      <c r="Z192" s="346">
        <f t="shared" si="31"/>
        <v>1778.9</v>
      </c>
      <c r="AA192" s="346">
        <f t="shared" si="31"/>
        <v>2029.16</v>
      </c>
      <c r="AB192" s="346">
        <f t="shared" si="31"/>
        <v>2029.16</v>
      </c>
      <c r="AC192" s="346">
        <f t="shared" si="31"/>
        <v>2367.46</v>
      </c>
      <c r="AD192" s="346">
        <f t="shared" si="31"/>
        <v>1977.42</v>
      </c>
      <c r="AE192" s="368">
        <f t="shared" si="31"/>
        <v>33819.5</v>
      </c>
      <c r="AF192" s="264"/>
      <c r="AG192" s="332"/>
      <c r="AH192" s="265"/>
    </row>
    <row r="193" spans="1:34" s="227" customFormat="1">
      <c r="A193" s="266"/>
      <c r="B193" s="267"/>
      <c r="C193" s="352"/>
      <c r="D193" s="268"/>
      <c r="E193" s="268"/>
      <c r="F193" s="269" t="s">
        <v>352</v>
      </c>
      <c r="G193" s="637"/>
      <c r="H193" s="638" t="s">
        <v>352</v>
      </c>
      <c r="I193" s="269" t="s">
        <v>352</v>
      </c>
      <c r="J193" s="269" t="s">
        <v>352</v>
      </c>
      <c r="K193" s="269" t="s">
        <v>352</v>
      </c>
      <c r="L193" s="269" t="s">
        <v>352</v>
      </c>
      <c r="M193" s="269" t="s">
        <v>352</v>
      </c>
      <c r="N193" s="269" t="s">
        <v>352</v>
      </c>
      <c r="O193" s="269" t="s">
        <v>352</v>
      </c>
      <c r="P193" s="269" t="s">
        <v>352</v>
      </c>
      <c r="Q193" s="269" t="s">
        <v>352</v>
      </c>
      <c r="R193" s="269" t="s">
        <v>352</v>
      </c>
      <c r="S193" s="269" t="s">
        <v>352</v>
      </c>
      <c r="T193" s="269" t="s">
        <v>352</v>
      </c>
      <c r="U193" s="269" t="s">
        <v>352</v>
      </c>
      <c r="V193" s="269" t="s">
        <v>352</v>
      </c>
      <c r="W193" s="269" t="s">
        <v>352</v>
      </c>
      <c r="X193" s="269" t="s">
        <v>352</v>
      </c>
      <c r="Y193" s="269" t="s">
        <v>352</v>
      </c>
      <c r="Z193" s="269" t="s">
        <v>352</v>
      </c>
      <c r="AA193" s="269" t="s">
        <v>352</v>
      </c>
      <c r="AB193" s="269" t="s">
        <v>352</v>
      </c>
      <c r="AC193" s="269" t="s">
        <v>352</v>
      </c>
      <c r="AD193" s="269" t="s">
        <v>352</v>
      </c>
      <c r="AE193" s="379" t="s">
        <v>352</v>
      </c>
      <c r="AF193" s="264"/>
      <c r="AG193" s="332"/>
      <c r="AH193" s="265"/>
    </row>
    <row r="194" spans="1:34" s="227" customFormat="1" ht="15.75" thickBot="1">
      <c r="A194" s="270"/>
      <c r="B194" s="271" t="s">
        <v>7</v>
      </c>
      <c r="C194" s="272"/>
      <c r="D194" s="272"/>
      <c r="E194" s="272"/>
      <c r="F194" s="378">
        <f t="shared" ref="F194:AE194" si="32">F190+F192+F191</f>
        <v>399070.1</v>
      </c>
      <c r="G194" s="395"/>
      <c r="H194" s="616">
        <f>H190+H192+H191</f>
        <v>399070.1</v>
      </c>
      <c r="I194" s="378">
        <f t="shared" si="32"/>
        <v>20991.024400000002</v>
      </c>
      <c r="J194" s="378">
        <f t="shared" si="32"/>
        <v>20991.024400000002</v>
      </c>
      <c r="K194" s="378">
        <f t="shared" si="32"/>
        <v>6037.94</v>
      </c>
      <c r="L194" s="378">
        <f t="shared" si="32"/>
        <v>20991.024400000002</v>
      </c>
      <c r="M194" s="378">
        <f t="shared" si="32"/>
        <v>20991.024400000002</v>
      </c>
      <c r="N194" s="378">
        <f t="shared" si="32"/>
        <v>0</v>
      </c>
      <c r="O194" s="378">
        <f t="shared" si="32"/>
        <v>0</v>
      </c>
      <c r="P194" s="378">
        <f t="shared" si="32"/>
        <v>20991.024400000002</v>
      </c>
      <c r="Q194" s="378">
        <f>Q190+Q192+Q191</f>
        <v>20991.024400000002</v>
      </c>
      <c r="R194" s="378">
        <f>R190+R192+R191</f>
        <v>20991.024400000002</v>
      </c>
      <c r="S194" s="378">
        <f t="shared" si="32"/>
        <v>20991.024400000002</v>
      </c>
      <c r="T194" s="378">
        <f t="shared" si="32"/>
        <v>20991.024400000002</v>
      </c>
      <c r="U194" s="378">
        <f t="shared" si="32"/>
        <v>20991.024400000002</v>
      </c>
      <c r="V194" s="378">
        <f>V190+V192+V191</f>
        <v>10495.512200000001</v>
      </c>
      <c r="W194" s="378">
        <f t="shared" si="32"/>
        <v>10495.512200000001</v>
      </c>
      <c r="X194" s="378">
        <f t="shared" si="32"/>
        <v>20991.024400000002</v>
      </c>
      <c r="Y194" s="378">
        <f t="shared" si="32"/>
        <v>20991.024400000002</v>
      </c>
      <c r="Z194" s="378">
        <f t="shared" si="32"/>
        <v>20991.024400000002</v>
      </c>
      <c r="AA194" s="378">
        <f t="shared" si="32"/>
        <v>23944.129999999997</v>
      </c>
      <c r="AB194" s="378">
        <f t="shared" si="32"/>
        <v>23944.129999999997</v>
      </c>
      <c r="AC194" s="378">
        <f t="shared" si="32"/>
        <v>27936.010000000002</v>
      </c>
      <c r="AD194" s="378">
        <f t="shared" si="32"/>
        <v>23333.528400000003</v>
      </c>
      <c r="AE194" s="380">
        <f t="shared" si="32"/>
        <v>399070.10000000003</v>
      </c>
      <c r="AF194" s="264"/>
      <c r="AG194" s="332"/>
      <c r="AH194" s="265"/>
    </row>
    <row r="195" spans="1:34" s="281" customFormat="1">
      <c r="A195" s="276"/>
      <c r="B195" s="277"/>
      <c r="C195" s="278"/>
      <c r="D195" s="278"/>
      <c r="E195" s="278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381"/>
      <c r="AF195" s="280"/>
      <c r="AG195" s="334"/>
      <c r="AH195" s="282"/>
    </row>
    <row r="196" spans="1:34" s="281" customFormat="1">
      <c r="A196" s="276"/>
      <c r="B196" s="277" t="s">
        <v>356</v>
      </c>
      <c r="C196" s="278"/>
      <c r="D196" s="279"/>
      <c r="E196" s="279"/>
      <c r="F196" s="279">
        <f t="shared" ref="F196:M196" si="33">+F176+F186+F194+0.01</f>
        <v>12342418.690000001</v>
      </c>
      <c r="G196" s="279">
        <f>+G176+G186+G194</f>
        <v>82082.659999999989</v>
      </c>
      <c r="H196" s="279">
        <f>+H176+H186+H194</f>
        <v>12260336.010000002</v>
      </c>
      <c r="I196" s="279">
        <f>+I176+I186+I194+0.01</f>
        <v>309693.00439999998</v>
      </c>
      <c r="J196" s="279">
        <f t="shared" si="33"/>
        <v>404347.39440000005</v>
      </c>
      <c r="K196" s="279">
        <f t="shared" si="33"/>
        <v>467585.93</v>
      </c>
      <c r="L196" s="279">
        <f t="shared" si="33"/>
        <v>348906.79127499997</v>
      </c>
      <c r="M196" s="279">
        <f t="shared" si="33"/>
        <v>823620.85127499991</v>
      </c>
      <c r="N196" s="279">
        <f t="shared" ref="N196:AD196" si="34">+N176+N186+N194</f>
        <v>57437.619500000008</v>
      </c>
      <c r="O196" s="279">
        <f t="shared" si="34"/>
        <v>163365.60800000001</v>
      </c>
      <c r="P196" s="279">
        <f t="shared" si="34"/>
        <v>302549.76027499995</v>
      </c>
      <c r="Q196" s="279">
        <f>+Q176+Q186+Q194</f>
        <v>495203.82527499995</v>
      </c>
      <c r="R196" s="279">
        <f>+R176+R186+R194</f>
        <v>503596.66277500003</v>
      </c>
      <c r="S196" s="279">
        <f t="shared" si="34"/>
        <v>579785.86927499995</v>
      </c>
      <c r="T196" s="279">
        <f t="shared" si="34"/>
        <v>726309.26927499997</v>
      </c>
      <c r="U196" s="279">
        <f t="shared" si="34"/>
        <v>552787.00827500003</v>
      </c>
      <c r="V196" s="279">
        <f>+V176+V186+V194</f>
        <v>706226.94120000012</v>
      </c>
      <c r="W196" s="279">
        <f t="shared" si="34"/>
        <v>857921.89507500001</v>
      </c>
      <c r="X196" s="279">
        <f t="shared" si="34"/>
        <v>947691.32427500002</v>
      </c>
      <c r="Y196" s="279">
        <f t="shared" si="34"/>
        <v>889337.50527499989</v>
      </c>
      <c r="Z196" s="279">
        <f t="shared" si="34"/>
        <v>1114352.838275</v>
      </c>
      <c r="AA196" s="279">
        <f t="shared" si="34"/>
        <v>847156.36887499993</v>
      </c>
      <c r="AB196" s="279">
        <f t="shared" si="34"/>
        <v>659498.26487499999</v>
      </c>
      <c r="AC196" s="279">
        <f t="shared" si="34"/>
        <v>261719.95087500004</v>
      </c>
      <c r="AD196" s="279">
        <f t="shared" si="34"/>
        <v>241241.29727500002</v>
      </c>
      <c r="AE196" s="382">
        <f>SUM(I196:AD196)</f>
        <v>12260335.98</v>
      </c>
      <c r="AF196" s="280"/>
      <c r="AG196" s="334"/>
      <c r="AH196" s="282"/>
    </row>
    <row r="197" spans="1:34" s="281" customFormat="1">
      <c r="A197" s="276"/>
      <c r="B197" s="277" t="s">
        <v>357</v>
      </c>
      <c r="C197" s="353">
        <v>0.18</v>
      </c>
      <c r="D197" s="278"/>
      <c r="E197" s="279"/>
      <c r="F197" s="279">
        <f t="shared" ref="F197:AD197" si="35">+F196*0.18</f>
        <v>2221635.3642000002</v>
      </c>
      <c r="G197" s="279">
        <f>+G196*0.18</f>
        <v>14774.878799999997</v>
      </c>
      <c r="H197" s="279">
        <f>+H196*0.18</f>
        <v>2206860.4818000002</v>
      </c>
      <c r="I197" s="279">
        <f t="shared" si="35"/>
        <v>55744.740791999997</v>
      </c>
      <c r="J197" s="279">
        <f t="shared" si="35"/>
        <v>72782.530992</v>
      </c>
      <c r="K197" s="279">
        <f t="shared" si="35"/>
        <v>84165.467399999994</v>
      </c>
      <c r="L197" s="279">
        <f t="shared" si="35"/>
        <v>62803.222429499991</v>
      </c>
      <c r="M197" s="279">
        <f t="shared" si="35"/>
        <v>148251.75322949997</v>
      </c>
      <c r="N197" s="279">
        <f t="shared" si="35"/>
        <v>10338.77151</v>
      </c>
      <c r="O197" s="279">
        <f t="shared" si="35"/>
        <v>29405.809440000001</v>
      </c>
      <c r="P197" s="279">
        <f t="shared" si="35"/>
        <v>54458.956849499991</v>
      </c>
      <c r="Q197" s="279">
        <f>+Q196*0.18</f>
        <v>89136.688549499988</v>
      </c>
      <c r="R197" s="279">
        <f>+R196*0.18</f>
        <v>90647.399299500001</v>
      </c>
      <c r="S197" s="279">
        <f t="shared" si="35"/>
        <v>104361.45646949999</v>
      </c>
      <c r="T197" s="279">
        <f t="shared" si="35"/>
        <v>130735.66846949999</v>
      </c>
      <c r="U197" s="279">
        <f t="shared" si="35"/>
        <v>99501.661489499995</v>
      </c>
      <c r="V197" s="279">
        <f>+V196*0.18</f>
        <v>127120.84941600001</v>
      </c>
      <c r="W197" s="279">
        <f t="shared" si="35"/>
        <v>154425.94111349998</v>
      </c>
      <c r="X197" s="279">
        <f t="shared" si="35"/>
        <v>170584.43836949999</v>
      </c>
      <c r="Y197" s="279">
        <f t="shared" si="35"/>
        <v>160080.75094949998</v>
      </c>
      <c r="Z197" s="279">
        <f t="shared" si="35"/>
        <v>200583.5108895</v>
      </c>
      <c r="AA197" s="279">
        <f t="shared" si="35"/>
        <v>152488.14639749998</v>
      </c>
      <c r="AB197" s="279">
        <f t="shared" si="35"/>
        <v>118709.6876775</v>
      </c>
      <c r="AC197" s="279">
        <f t="shared" si="35"/>
        <v>47109.591157500006</v>
      </c>
      <c r="AD197" s="279">
        <f t="shared" si="35"/>
        <v>43423.433509499999</v>
      </c>
      <c r="AE197" s="382">
        <v>2221635.3642000002</v>
      </c>
      <c r="AF197" s="280"/>
      <c r="AG197" s="334"/>
      <c r="AH197" s="282"/>
    </row>
    <row r="198" spans="1:34" s="281" customFormat="1">
      <c r="A198" s="276"/>
      <c r="B198" s="277"/>
      <c r="C198" s="278"/>
      <c r="D198" s="278"/>
      <c r="E198" s="278"/>
      <c r="F198" s="283" t="s">
        <v>358</v>
      </c>
      <c r="G198" s="283" t="s">
        <v>358</v>
      </c>
      <c r="H198" s="283" t="s">
        <v>358</v>
      </c>
      <c r="I198" s="283" t="s">
        <v>358</v>
      </c>
      <c r="J198" s="283" t="s">
        <v>358</v>
      </c>
      <c r="K198" s="283" t="s">
        <v>358</v>
      </c>
      <c r="L198" s="283" t="s">
        <v>358</v>
      </c>
      <c r="M198" s="283" t="s">
        <v>358</v>
      </c>
      <c r="N198" s="283" t="s">
        <v>358</v>
      </c>
      <c r="O198" s="283" t="s">
        <v>358</v>
      </c>
      <c r="P198" s="283" t="s">
        <v>358</v>
      </c>
      <c r="Q198" s="283" t="s">
        <v>358</v>
      </c>
      <c r="R198" s="283" t="s">
        <v>358</v>
      </c>
      <c r="S198" s="283" t="s">
        <v>358</v>
      </c>
      <c r="T198" s="283" t="s">
        <v>358</v>
      </c>
      <c r="U198" s="283" t="s">
        <v>358</v>
      </c>
      <c r="V198" s="283" t="s">
        <v>358</v>
      </c>
      <c r="W198" s="283" t="s">
        <v>358</v>
      </c>
      <c r="X198" s="283" t="s">
        <v>358</v>
      </c>
      <c r="Y198" s="283" t="s">
        <v>358</v>
      </c>
      <c r="Z198" s="283" t="s">
        <v>358</v>
      </c>
      <c r="AA198" s="283" t="s">
        <v>358</v>
      </c>
      <c r="AB198" s="283" t="s">
        <v>358</v>
      </c>
      <c r="AC198" s="283" t="s">
        <v>358</v>
      </c>
      <c r="AD198" s="283" t="s">
        <v>358</v>
      </c>
      <c r="AE198" s="383" t="s">
        <v>358</v>
      </c>
      <c r="AF198" s="280"/>
      <c r="AG198" s="334"/>
      <c r="AH198" s="282"/>
    </row>
    <row r="199" spans="1:34" s="281" customFormat="1">
      <c r="A199" s="276"/>
      <c r="B199" s="277" t="s">
        <v>359</v>
      </c>
      <c r="C199" s="278"/>
      <c r="D199" s="278"/>
      <c r="E199" s="278"/>
      <c r="F199" s="279">
        <f t="shared" ref="F199:AE199" si="36">+F196+F197</f>
        <v>14564054.054200001</v>
      </c>
      <c r="G199" s="279">
        <f>+G196+G197</f>
        <v>96857.53879999998</v>
      </c>
      <c r="H199" s="279">
        <f>+H196+H197</f>
        <v>14467196.491800003</v>
      </c>
      <c r="I199" s="279">
        <f t="shared" si="36"/>
        <v>365437.74519199994</v>
      </c>
      <c r="J199" s="279">
        <f t="shared" si="36"/>
        <v>477129.92539200006</v>
      </c>
      <c r="K199" s="279">
        <f t="shared" si="36"/>
        <v>551751.39740000002</v>
      </c>
      <c r="L199" s="279">
        <f t="shared" si="36"/>
        <v>411710.01370449993</v>
      </c>
      <c r="M199" s="279">
        <f t="shared" si="36"/>
        <v>971872.60450449982</v>
      </c>
      <c r="N199" s="279">
        <f t="shared" si="36"/>
        <v>67776.391010000007</v>
      </c>
      <c r="O199" s="279">
        <f t="shared" si="36"/>
        <v>192771.41744000002</v>
      </c>
      <c r="P199" s="279">
        <f t="shared" si="36"/>
        <v>357008.71712449996</v>
      </c>
      <c r="Q199" s="279">
        <f>+Q196+Q197</f>
        <v>584340.51382449991</v>
      </c>
      <c r="R199" s="279">
        <f>+R196+R197</f>
        <v>594244.06207450002</v>
      </c>
      <c r="S199" s="279">
        <f t="shared" si="36"/>
        <v>684147.32574449992</v>
      </c>
      <c r="T199" s="279">
        <f t="shared" si="36"/>
        <v>857044.9377445</v>
      </c>
      <c r="U199" s="279">
        <f t="shared" si="36"/>
        <v>652288.66976449999</v>
      </c>
      <c r="V199" s="279">
        <f>+V196+V197</f>
        <v>833347.79061600007</v>
      </c>
      <c r="W199" s="279">
        <f t="shared" si="36"/>
        <v>1012347.8361885</v>
      </c>
      <c r="X199" s="279">
        <f t="shared" si="36"/>
        <v>1118275.7626445</v>
      </c>
      <c r="Y199" s="279">
        <f t="shared" si="36"/>
        <v>1049418.2562244998</v>
      </c>
      <c r="Z199" s="279">
        <f t="shared" si="36"/>
        <v>1314936.3491644999</v>
      </c>
      <c r="AA199" s="279">
        <f t="shared" si="36"/>
        <v>999644.51527249988</v>
      </c>
      <c r="AB199" s="279">
        <f t="shared" si="36"/>
        <v>778207.95255249995</v>
      </c>
      <c r="AC199" s="279">
        <f t="shared" si="36"/>
        <v>308829.54203250003</v>
      </c>
      <c r="AD199" s="279">
        <f t="shared" si="36"/>
        <v>284664.73078450002</v>
      </c>
      <c r="AE199" s="382">
        <f t="shared" si="36"/>
        <v>14481971.3442</v>
      </c>
      <c r="AF199" s="280"/>
      <c r="AG199" s="334"/>
      <c r="AH199" s="282"/>
    </row>
    <row r="200" spans="1:34" s="281" customFormat="1">
      <c r="A200" s="276"/>
      <c r="B200" s="284" t="s">
        <v>360</v>
      </c>
      <c r="C200" s="285"/>
      <c r="D200" s="285"/>
      <c r="E200" s="285"/>
      <c r="F200" s="285"/>
      <c r="G200" s="285"/>
      <c r="H200" s="285"/>
      <c r="I200" s="286">
        <f>+I199</f>
        <v>365437.74519199994</v>
      </c>
      <c r="J200" s="286">
        <f>+J199+I200</f>
        <v>842567.67058399995</v>
      </c>
      <c r="K200" s="286">
        <f>+K199+J200</f>
        <v>1394319.0679839998</v>
      </c>
      <c r="L200" s="286">
        <f t="shared" ref="L200:AD200" si="37">+L199+K200</f>
        <v>1806029.0816884998</v>
      </c>
      <c r="M200" s="286">
        <f t="shared" si="37"/>
        <v>2777901.6861929996</v>
      </c>
      <c r="N200" s="286">
        <f t="shared" si="37"/>
        <v>2845678.0772029995</v>
      </c>
      <c r="O200" s="286">
        <f t="shared" si="37"/>
        <v>3038449.4946429995</v>
      </c>
      <c r="P200" s="286">
        <f t="shared" si="37"/>
        <v>3395458.2117674993</v>
      </c>
      <c r="Q200" s="286">
        <f>+Q199+N200</f>
        <v>3430018.5910274992</v>
      </c>
      <c r="R200" s="286">
        <f>+R199+O200</f>
        <v>3632693.5567174996</v>
      </c>
      <c r="S200" s="286">
        <f>+S199+P200</f>
        <v>4079605.5375119993</v>
      </c>
      <c r="T200" s="286">
        <f t="shared" si="37"/>
        <v>4936650.4752564989</v>
      </c>
      <c r="U200" s="286">
        <f t="shared" si="37"/>
        <v>5588939.145020999</v>
      </c>
      <c r="V200" s="286">
        <f>+V199+T200</f>
        <v>5769998.265872499</v>
      </c>
      <c r="W200" s="286">
        <f>+W199+U200</f>
        <v>6601286.9812094988</v>
      </c>
      <c r="X200" s="286">
        <f t="shared" si="37"/>
        <v>7719562.7438539993</v>
      </c>
      <c r="Y200" s="286">
        <f t="shared" si="37"/>
        <v>8768981.0000784993</v>
      </c>
      <c r="Z200" s="286">
        <f t="shared" si="37"/>
        <v>10083917.349243</v>
      </c>
      <c r="AA200" s="286">
        <f t="shared" si="37"/>
        <v>11083561.8645155</v>
      </c>
      <c r="AB200" s="286">
        <f t="shared" si="37"/>
        <v>11861769.817067999</v>
      </c>
      <c r="AC200" s="286">
        <f t="shared" si="37"/>
        <v>12170599.3591005</v>
      </c>
      <c r="AD200" s="286">
        <f t="shared" si="37"/>
        <v>12455264.089885</v>
      </c>
      <c r="AE200" s="384">
        <f>+AD200</f>
        <v>12455264.089885</v>
      </c>
      <c r="AF200" s="280"/>
      <c r="AG200" s="335"/>
    </row>
    <row r="201" spans="1:34" s="281" customFormat="1">
      <c r="A201" s="287"/>
      <c r="B201" s="288" t="s">
        <v>361</v>
      </c>
      <c r="C201" s="289"/>
      <c r="D201" s="278"/>
      <c r="E201" s="278"/>
      <c r="F201" s="278"/>
      <c r="G201" s="290">
        <f t="shared" ref="G201:AD201" si="38">+G199/$F$199</f>
        <v>6.6504517519329091E-3</v>
      </c>
      <c r="H201" s="290">
        <f t="shared" si="38"/>
        <v>0.9933495466276393</v>
      </c>
      <c r="I201" s="290">
        <f t="shared" si="38"/>
        <v>2.5091759741623216E-2</v>
      </c>
      <c r="J201" s="290">
        <f t="shared" si="38"/>
        <v>3.2760790616154348E-2</v>
      </c>
      <c r="K201" s="290">
        <f t="shared" si="38"/>
        <v>3.7884465091015312E-2</v>
      </c>
      <c r="L201" s="290">
        <f t="shared" si="38"/>
        <v>2.8268915521208908E-2</v>
      </c>
      <c r="M201" s="290">
        <f t="shared" si="38"/>
        <v>6.6730911660152062E-2</v>
      </c>
      <c r="N201" s="639">
        <f t="shared" si="38"/>
        <v>4.653676150731847E-3</v>
      </c>
      <c r="O201" s="639">
        <f t="shared" si="38"/>
        <v>1.323610972072768E-2</v>
      </c>
      <c r="P201" s="639">
        <f t="shared" si="38"/>
        <v>2.4513004126179093E-2</v>
      </c>
      <c r="Q201" s="639">
        <f>+Q199/$F$199</f>
        <v>4.0122105538051546E-2</v>
      </c>
      <c r="R201" s="639">
        <f>+R199/$F$199</f>
        <v>4.0802104953952097E-2</v>
      </c>
      <c r="S201" s="290">
        <f t="shared" si="38"/>
        <v>4.6975060872367788E-2</v>
      </c>
      <c r="T201" s="290">
        <f t="shared" si="38"/>
        <v>5.8846591378678953E-2</v>
      </c>
      <c r="U201" s="646">
        <f t="shared" si="38"/>
        <v>4.4787575446851087E-2</v>
      </c>
      <c r="V201" s="290">
        <f>+V199/$F$199</f>
        <v>5.7219493110551738E-2</v>
      </c>
      <c r="W201" s="290">
        <f t="shared" si="38"/>
        <v>6.9510030134539214E-2</v>
      </c>
      <c r="X201" s="290">
        <f t="shared" si="38"/>
        <v>7.6783274662593701E-2</v>
      </c>
      <c r="Y201" s="290">
        <f t="shared" si="38"/>
        <v>7.2055366748784294E-2</v>
      </c>
      <c r="Z201" s="290">
        <f t="shared" si="38"/>
        <v>9.0286423290587614E-2</v>
      </c>
      <c r="AA201" s="290">
        <f t="shared" si="38"/>
        <v>6.8637792166407197E-2</v>
      </c>
      <c r="AB201" s="290">
        <f t="shared" si="38"/>
        <v>5.3433470492241085E-2</v>
      </c>
      <c r="AC201" s="290">
        <f t="shared" si="38"/>
        <v>2.1204915944639698E-2</v>
      </c>
      <c r="AD201" s="290">
        <f t="shared" si="38"/>
        <v>1.9545706828958662E-2</v>
      </c>
      <c r="AE201" s="640">
        <f>SUM(I201:AD201)</f>
        <v>0.99334954419699717</v>
      </c>
      <c r="AF201" s="280"/>
      <c r="AG201" s="334"/>
    </row>
    <row r="202" spans="1:34" s="281" customFormat="1">
      <c r="A202" s="276"/>
      <c r="B202" s="641"/>
      <c r="C202" s="641"/>
      <c r="D202" s="641"/>
      <c r="E202" s="641"/>
      <c r="F202" s="641"/>
      <c r="G202" s="641"/>
      <c r="H202" s="641"/>
      <c r="I202" s="641"/>
      <c r="J202" s="641"/>
      <c r="K202" s="641"/>
      <c r="L202" s="641"/>
      <c r="M202" s="641"/>
      <c r="N202" s="641"/>
      <c r="O202" s="641"/>
      <c r="P202" s="641"/>
      <c r="Q202" s="641"/>
      <c r="R202" s="641"/>
      <c r="S202" s="641"/>
      <c r="T202" s="641"/>
      <c r="U202" s="641"/>
      <c r="V202" s="641"/>
      <c r="W202" s="641"/>
      <c r="X202" s="641"/>
      <c r="Y202" s="641"/>
      <c r="Z202" s="641"/>
      <c r="AA202" s="641"/>
      <c r="AB202" s="1023" t="s">
        <v>452</v>
      </c>
      <c r="AC202" s="1023"/>
      <c r="AD202" s="642">
        <f>+G201</f>
        <v>6.6504517519329091E-3</v>
      </c>
      <c r="AE202" s="643">
        <f>+G201</f>
        <v>6.6504517519329091E-3</v>
      </c>
      <c r="AF202" s="280"/>
      <c r="AG202" s="334"/>
    </row>
    <row r="203" spans="1:34" s="281" customFormat="1" ht="15.75" thickBot="1">
      <c r="A203" s="291"/>
      <c r="B203" s="292" t="s">
        <v>362</v>
      </c>
      <c r="C203" s="293"/>
      <c r="D203" s="293"/>
      <c r="E203" s="293"/>
      <c r="F203" s="294">
        <v>1</v>
      </c>
      <c r="G203" s="644"/>
      <c r="H203" s="644"/>
      <c r="I203" s="314">
        <f>+I201</f>
        <v>2.5091759741623216E-2</v>
      </c>
      <c r="J203" s="314">
        <f>+J201+I203</f>
        <v>5.785255035777756E-2</v>
      </c>
      <c r="K203" s="314">
        <f>+K201+J203</f>
        <v>9.5737015448792873E-2</v>
      </c>
      <c r="L203" s="314">
        <f t="shared" ref="L203:AC203" si="39">+L201+K203</f>
        <v>0.12400593097000179</v>
      </c>
      <c r="M203" s="314">
        <f t="shared" si="39"/>
        <v>0.19073684263015384</v>
      </c>
      <c r="N203" s="314">
        <f t="shared" si="39"/>
        <v>0.19539051878088567</v>
      </c>
      <c r="O203" s="314">
        <f t="shared" si="39"/>
        <v>0.20862662850161334</v>
      </c>
      <c r="P203" s="314">
        <f t="shared" si="39"/>
        <v>0.23313963262779244</v>
      </c>
      <c r="Q203" s="314">
        <f t="shared" si="39"/>
        <v>0.27326173816584398</v>
      </c>
      <c r="R203" s="314">
        <f t="shared" si="39"/>
        <v>0.31406384311979607</v>
      </c>
      <c r="S203" s="314">
        <f>+S201+R203</f>
        <v>0.36103890399216387</v>
      </c>
      <c r="T203" s="314">
        <f t="shared" si="39"/>
        <v>0.41988549537084285</v>
      </c>
      <c r="U203" s="314">
        <f t="shared" si="39"/>
        <v>0.46467307081769393</v>
      </c>
      <c r="V203" s="314">
        <f t="shared" si="39"/>
        <v>0.52189256392824568</v>
      </c>
      <c r="W203" s="314">
        <f>+W201+V203</f>
        <v>0.59140259406278495</v>
      </c>
      <c r="X203" s="314">
        <f t="shared" si="39"/>
        <v>0.66818586872537866</v>
      </c>
      <c r="Y203" s="314">
        <f t="shared" si="39"/>
        <v>0.74024123547416298</v>
      </c>
      <c r="Z203" s="314">
        <f t="shared" si="39"/>
        <v>0.83052765876475054</v>
      </c>
      <c r="AA203" s="314">
        <f t="shared" si="39"/>
        <v>0.89916545093115774</v>
      </c>
      <c r="AB203" s="314">
        <f t="shared" si="39"/>
        <v>0.95259892142339886</v>
      </c>
      <c r="AC203" s="314">
        <f t="shared" si="39"/>
        <v>0.97380383736803855</v>
      </c>
      <c r="AD203" s="314">
        <f>+AD201+AC203+AD202</f>
        <v>0.99999999594893008</v>
      </c>
      <c r="AE203" s="645">
        <f>+AE201+AE202</f>
        <v>0.99999999594893008</v>
      </c>
      <c r="AG203" s="336"/>
    </row>
    <row r="204" spans="1:34" s="301" customFormat="1" ht="15.75" hidden="1" thickBot="1">
      <c r="A204" s="295"/>
      <c r="B204" s="296"/>
      <c r="C204" s="296"/>
      <c r="D204" s="296"/>
      <c r="E204" s="296"/>
      <c r="F204" s="296"/>
      <c r="G204" s="296"/>
      <c r="H204" s="296"/>
      <c r="I204" s="297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9"/>
      <c r="AC204" s="299"/>
      <c r="AD204" s="298"/>
      <c r="AE204" s="300"/>
      <c r="AG204" s="337"/>
    </row>
    <row r="205" spans="1:34" s="305" customFormat="1">
      <c r="A205" s="302"/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811" t="s">
        <v>462</v>
      </c>
      <c r="V205" s="302"/>
      <c r="W205" s="302"/>
      <c r="X205" s="302"/>
      <c r="Y205" s="302"/>
      <c r="Z205" s="302"/>
      <c r="AA205" s="302"/>
      <c r="AB205" s="303"/>
      <c r="AC205" s="303"/>
      <c r="AD205" s="302"/>
      <c r="AE205" s="304"/>
      <c r="AG205" s="338"/>
    </row>
    <row r="206" spans="1:34" s="305" customFormat="1">
      <c r="A206" s="302"/>
      <c r="B206" s="302"/>
      <c r="C206" s="302"/>
      <c r="D206" s="302"/>
      <c r="E206" s="302"/>
      <c r="F206" s="306"/>
      <c r="G206" s="306"/>
      <c r="H206" s="306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810"/>
      <c r="T206" s="302"/>
      <c r="U206" s="302"/>
      <c r="V206" s="302"/>
      <c r="W206" s="302"/>
      <c r="X206" s="302"/>
      <c r="Y206" s="302"/>
      <c r="Z206" s="302"/>
      <c r="AA206" s="302"/>
      <c r="AB206" s="303"/>
      <c r="AC206" s="303"/>
      <c r="AD206" s="302"/>
      <c r="AE206" s="306"/>
      <c r="AG206" s="338"/>
    </row>
    <row r="207" spans="1:34" s="305" customFormat="1">
      <c r="A207" s="302"/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3"/>
      <c r="AC207" s="303"/>
      <c r="AD207" s="302"/>
      <c r="AE207" s="304"/>
      <c r="AG207" s="338"/>
    </row>
    <row r="208" spans="1:34" s="305" customFormat="1">
      <c r="A208" s="302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3"/>
      <c r="AC208" s="303"/>
      <c r="AD208" s="302"/>
      <c r="AE208" s="304"/>
      <c r="AG208" s="338"/>
    </row>
    <row r="209" spans="1:33" s="305" customFormat="1">
      <c r="A209" s="302"/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3"/>
      <c r="AC209" s="303"/>
      <c r="AD209" s="302"/>
      <c r="AE209" s="304"/>
      <c r="AG209" s="338"/>
    </row>
    <row r="210" spans="1:33" s="305" customFormat="1">
      <c r="A210" s="302"/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3"/>
      <c r="AC210" s="303"/>
      <c r="AD210" s="302"/>
      <c r="AE210" s="304"/>
      <c r="AG210" s="338"/>
    </row>
    <row r="211" spans="1:33" s="305" customFormat="1">
      <c r="A211" s="302"/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3"/>
      <c r="AC211" s="303"/>
      <c r="AD211" s="302"/>
      <c r="AE211" s="304"/>
      <c r="AG211" s="338"/>
    </row>
    <row r="212" spans="1:33" s="305" customFormat="1">
      <c r="A212" s="302"/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3"/>
      <c r="AC212" s="303"/>
      <c r="AD212" s="302"/>
      <c r="AE212" s="304"/>
      <c r="AG212" s="338"/>
    </row>
    <row r="213" spans="1:33" s="305" customFormat="1">
      <c r="A213" s="302"/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3"/>
      <c r="AC213" s="303"/>
      <c r="AD213" s="302"/>
      <c r="AE213" s="304"/>
      <c r="AG213" s="338"/>
    </row>
    <row r="214" spans="1:33">
      <c r="A214" s="307"/>
      <c r="B214" s="308"/>
      <c r="C214" s="308"/>
      <c r="D214" s="308"/>
      <c r="E214" s="308"/>
      <c r="F214" s="308"/>
      <c r="G214" s="308"/>
      <c r="H214" s="308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9"/>
      <c r="AC214" s="309"/>
      <c r="AD214" s="302"/>
      <c r="AE214" s="304"/>
      <c r="AG214" s="339"/>
    </row>
    <row r="215" spans="1:33">
      <c r="A215" s="307"/>
      <c r="B215" s="308"/>
      <c r="C215" s="308"/>
      <c r="D215" s="308"/>
      <c r="E215" s="308"/>
      <c r="F215" s="308"/>
      <c r="G215" s="308"/>
      <c r="H215" s="308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9"/>
      <c r="AC215" s="309"/>
      <c r="AD215" s="302"/>
      <c r="AE215" s="304"/>
      <c r="AG215" s="339"/>
    </row>
    <row r="216" spans="1:33">
      <c r="A216" s="307"/>
      <c r="B216" s="308"/>
      <c r="C216" s="308"/>
      <c r="D216" s="308"/>
      <c r="E216" s="308"/>
      <c r="F216" s="308"/>
      <c r="G216" s="308"/>
      <c r="H216" s="308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9"/>
      <c r="AC216" s="309"/>
      <c r="AD216" s="302"/>
      <c r="AE216" s="304"/>
      <c r="AG216" s="339"/>
    </row>
    <row r="217" spans="1:33">
      <c r="A217" s="307"/>
      <c r="B217" s="308"/>
      <c r="C217" s="308"/>
      <c r="D217" s="308"/>
      <c r="E217" s="308"/>
      <c r="F217" s="308"/>
      <c r="G217" s="308"/>
      <c r="H217" s="308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9"/>
      <c r="AC217" s="309"/>
      <c r="AD217" s="302"/>
      <c r="AE217" s="304"/>
      <c r="AG217" s="339"/>
    </row>
    <row r="218" spans="1:33">
      <c r="A218" s="307"/>
      <c r="B218" s="308"/>
      <c r="C218" s="308"/>
      <c r="D218" s="308"/>
      <c r="E218" s="308"/>
      <c r="F218" s="308"/>
      <c r="G218" s="308"/>
      <c r="H218" s="308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9"/>
      <c r="AC218" s="309"/>
      <c r="AD218" s="302"/>
      <c r="AE218" s="304"/>
      <c r="AG218" s="339"/>
    </row>
    <row r="219" spans="1:33">
      <c r="A219" s="307"/>
      <c r="B219" s="308"/>
      <c r="C219" s="308"/>
      <c r="D219" s="308"/>
      <c r="E219" s="308"/>
      <c r="F219" s="308"/>
      <c r="G219" s="308"/>
      <c r="H219" s="308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9"/>
      <c r="AC219" s="309"/>
      <c r="AD219" s="302"/>
      <c r="AE219" s="304"/>
      <c r="AG219" s="339"/>
    </row>
    <row r="220" spans="1:33">
      <c r="A220" s="307"/>
      <c r="B220" s="308"/>
      <c r="C220" s="308"/>
      <c r="D220" s="308"/>
      <c r="E220" s="308"/>
      <c r="F220" s="308"/>
      <c r="G220" s="308"/>
      <c r="H220" s="308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9"/>
      <c r="AC220" s="309"/>
      <c r="AD220" s="302"/>
      <c r="AE220" s="304"/>
      <c r="AG220" s="339"/>
    </row>
    <row r="221" spans="1:33">
      <c r="A221" s="307"/>
      <c r="B221" s="308"/>
      <c r="C221" s="308"/>
      <c r="D221" s="308"/>
      <c r="E221" s="308"/>
      <c r="F221" s="308"/>
      <c r="G221" s="308"/>
      <c r="H221" s="308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9"/>
      <c r="AC221" s="309"/>
      <c r="AD221" s="302"/>
      <c r="AE221" s="304"/>
      <c r="AG221" s="339"/>
    </row>
    <row r="222" spans="1:33">
      <c r="A222" s="307"/>
      <c r="B222" s="308"/>
      <c r="C222" s="308"/>
      <c r="D222" s="308"/>
      <c r="E222" s="308"/>
      <c r="F222" s="308"/>
      <c r="G222" s="308"/>
      <c r="H222" s="308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9"/>
      <c r="AC222" s="309"/>
      <c r="AD222" s="302"/>
      <c r="AE222" s="304"/>
      <c r="AG222" s="339"/>
    </row>
    <row r="223" spans="1:33">
      <c r="A223" s="307"/>
      <c r="B223" s="308"/>
      <c r="C223" s="308"/>
      <c r="D223" s="308"/>
      <c r="E223" s="308"/>
      <c r="F223" s="308"/>
      <c r="G223" s="308"/>
      <c r="H223" s="308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9"/>
      <c r="AC223" s="309"/>
      <c r="AD223" s="302"/>
      <c r="AE223" s="304"/>
      <c r="AG223" s="339"/>
    </row>
    <row r="224" spans="1:33">
      <c r="A224" s="307"/>
      <c r="B224" s="308"/>
      <c r="C224" s="308"/>
      <c r="D224" s="308"/>
      <c r="E224" s="308"/>
      <c r="F224" s="308"/>
      <c r="G224" s="308"/>
      <c r="H224" s="308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9"/>
      <c r="AC224" s="309"/>
      <c r="AD224" s="302"/>
      <c r="AE224" s="304"/>
      <c r="AG224" s="339"/>
    </row>
    <row r="225" spans="1:33">
      <c r="A225" s="307"/>
      <c r="B225" s="308"/>
      <c r="C225" s="308"/>
      <c r="D225" s="308"/>
      <c r="E225" s="308"/>
      <c r="F225" s="308"/>
      <c r="G225" s="308"/>
      <c r="H225" s="308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9"/>
      <c r="AC225" s="309"/>
      <c r="AD225" s="302"/>
      <c r="AE225" s="304"/>
      <c r="AG225" s="339"/>
    </row>
    <row r="226" spans="1:33">
      <c r="A226" s="307"/>
      <c r="B226" s="308"/>
      <c r="C226" s="308"/>
      <c r="D226" s="308"/>
      <c r="E226" s="308"/>
      <c r="F226" s="308"/>
      <c r="G226" s="308"/>
      <c r="H226" s="308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9"/>
      <c r="AC226" s="309"/>
      <c r="AD226" s="302"/>
      <c r="AE226" s="304"/>
      <c r="AG226" s="339"/>
    </row>
    <row r="227" spans="1:33">
      <c r="AG227" s="339"/>
    </row>
    <row r="228" spans="1:33">
      <c r="AG228" s="339"/>
    </row>
    <row r="229" spans="1:33">
      <c r="AG229" s="339"/>
    </row>
    <row r="230" spans="1:33">
      <c r="AG230" s="339"/>
    </row>
    <row r="231" spans="1:33">
      <c r="AG231" s="339"/>
    </row>
    <row r="232" spans="1:33">
      <c r="AG232" s="339"/>
    </row>
    <row r="233" spans="1:33">
      <c r="AG233" s="339"/>
    </row>
    <row r="234" spans="1:33">
      <c r="AG234" s="339"/>
    </row>
    <row r="235" spans="1:33">
      <c r="AG235" s="339"/>
    </row>
  </sheetData>
  <mergeCells count="32">
    <mergeCell ref="T8:T9"/>
    <mergeCell ref="AB8:AB9"/>
    <mergeCell ref="AC8:AC9"/>
    <mergeCell ref="AD8:AD9"/>
    <mergeCell ref="AB202:AC202"/>
    <mergeCell ref="V8:V9"/>
    <mergeCell ref="W8:W9"/>
    <mergeCell ref="X8:X9"/>
    <mergeCell ref="Y8:Y9"/>
    <mergeCell ref="Z8:Z9"/>
    <mergeCell ref="AA8:AA9"/>
    <mergeCell ref="O8:O9"/>
    <mergeCell ref="P8:P9"/>
    <mergeCell ref="Q8:Q9"/>
    <mergeCell ref="R8:R9"/>
    <mergeCell ref="S8:S9"/>
    <mergeCell ref="A1:AE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U8:U9"/>
    <mergeCell ref="J8:J9"/>
    <mergeCell ref="K8:K9"/>
    <mergeCell ref="L8:L9"/>
    <mergeCell ref="M8:M9"/>
    <mergeCell ref="N8:N9"/>
  </mergeCells>
  <printOptions horizontalCentered="1"/>
  <pageMargins left="0" right="0" top="0.39370078740157483" bottom="0.19685039370078741" header="0" footer="0.70866141732283472"/>
  <pageSetup paperSize="2058" scale="21" orientation="portrait" horizontalDpi="4294967294" verticalDpi="4294967294" r:id="rId1"/>
  <headerFooter alignWithMargins="0"/>
  <rowBreaks count="1" manualBreakCount="1">
    <brk id="203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ESTADO FINANC</vt:lpstr>
      <vt:lpstr>IND K</vt:lpstr>
      <vt:lpstr>Amortz. Mat.2</vt:lpstr>
      <vt:lpstr>Ded. Mat.2 </vt:lpstr>
      <vt:lpstr>DEDUCTIVOS</vt:lpstr>
      <vt:lpstr>CAO A.P. Nº 05</vt:lpstr>
      <vt:lpstr>'Amortz. Mat.2'!Área_de_impresión</vt:lpstr>
      <vt:lpstr>'CAO A.P. Nº 05'!Área_de_impresión</vt:lpstr>
      <vt:lpstr>'Ded. Mat.2 '!Área_de_impresión</vt:lpstr>
      <vt:lpstr>'ESTADO FINANC'!Área_de_impresión</vt:lpstr>
      <vt:lpstr>'CAO A.P. Nº 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desconocido</dc:creator>
  <cp:lastModifiedBy>GERERNCIA1</cp:lastModifiedBy>
  <cp:lastPrinted>2018-02-05T21:56:47Z</cp:lastPrinted>
  <dcterms:created xsi:type="dcterms:W3CDTF">1997-06-17T10:59:28Z</dcterms:created>
  <dcterms:modified xsi:type="dcterms:W3CDTF">2021-08-05T12:35:18Z</dcterms:modified>
</cp:coreProperties>
</file>